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1. Proyectos\3. OTCA\3. Ejecución - Productos\4. Entregables  finales aprobados\2. Envio de productos 1, 3 y 4 version final\"/>
    </mc:Choice>
  </mc:AlternateContent>
  <xr:revisionPtr revIDLastSave="0" documentId="13_ncr:1_{226ABB84-497F-4040-9251-AF6C0AD845CC}" xr6:coauthVersionLast="47" xr6:coauthVersionMax="47" xr10:uidLastSave="{00000000-0000-0000-0000-000000000000}"/>
  <bookViews>
    <workbookView xWindow="-120" yWindow="-120" windowWidth="20640" windowHeight="11040" tabRatio="872" xr2:uid="{27175B66-A000-4F4B-A1F3-976A4C6CCBC2}"/>
  </bookViews>
  <sheets>
    <sheet name="LEAME" sheetId="18" r:id="rId1"/>
    <sheet name="Datos Entrada" sheetId="22" r:id="rId2"/>
    <sheet name="ODS Analisis" sheetId="23" r:id="rId3"/>
    <sheet name="Criterios inversion" sheetId="2" r:id="rId4"/>
    <sheet name="ODS" sheetId="1" state="hidden" r:id="rId5"/>
    <sheet name="Politica Financiera" sheetId="3" r:id="rId6"/>
    <sheet name="Nivel de Riesgo" sheetId="14" r:id="rId7"/>
    <sheet name="Evaluacion Preliminar" sheetId="26" r:id="rId8"/>
    <sheet name="Auxiliar" sheetId="20" r:id="rId9"/>
    <sheet name="Auxiliar 2" sheetId="27" r:id="rId10"/>
    <sheet name="Obj Des Sost" sheetId="21" r:id="rId11"/>
  </sheets>
  <externalReferences>
    <externalReference r:id="rId12"/>
  </externalReferences>
  <definedNames>
    <definedName name="_xlnm._FilterDatabase" localSheetId="8" hidden="1">Auxiliar!$C$2:$F$37</definedName>
    <definedName name="_xlnm._FilterDatabase" localSheetId="3" hidden="1">'Criterios inversion'!$C$2:$G$37</definedName>
    <definedName name="Elevation">[1]Hoja5!$D$51</definedName>
    <definedName name="Latitude">[1]Hoja5!$D$49</definedName>
    <definedName name="Longitude">[1]Hoja5!$D$50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3" l="1"/>
  <c r="E21" i="3"/>
  <c r="E20" i="3"/>
  <c r="E19" i="3"/>
  <c r="E18" i="3"/>
  <c r="E17" i="3"/>
  <c r="E16" i="3"/>
  <c r="D13" i="3"/>
  <c r="C21" i="3"/>
  <c r="C20" i="3"/>
  <c r="C19" i="3"/>
  <c r="C18" i="3"/>
  <c r="C17" i="3"/>
  <c r="C16" i="3"/>
  <c r="D22" i="3" s="1"/>
  <c r="D23" i="3" s="1"/>
  <c r="H36" i="27"/>
  <c r="I36" i="27"/>
  <c r="H37" i="27"/>
  <c r="I37" i="27"/>
  <c r="H38" i="27"/>
  <c r="I38" i="27"/>
  <c r="H39" i="27"/>
  <c r="I39" i="27"/>
  <c r="H40" i="27"/>
  <c r="I40" i="27"/>
  <c r="H41" i="27"/>
  <c r="I41" i="27"/>
  <c r="G37" i="27"/>
  <c r="G38" i="27"/>
  <c r="G39" i="27"/>
  <c r="G40" i="27"/>
  <c r="G41" i="27"/>
  <c r="G36" i="27"/>
  <c r="C40" i="27"/>
  <c r="C41" i="27"/>
  <c r="C37" i="27"/>
  <c r="C38" i="27"/>
  <c r="C39" i="27"/>
  <c r="C36" i="27"/>
  <c r="C35" i="27"/>
  <c r="M27" i="18" l="1"/>
  <c r="M47" i="18"/>
  <c r="M49" i="18" s="1"/>
  <c r="M48" i="18"/>
  <c r="M46" i="18"/>
  <c r="M45" i="18"/>
  <c r="H43" i="18"/>
  <c r="H42" i="18"/>
  <c r="H41" i="18"/>
  <c r="H40" i="18"/>
  <c r="H39" i="18"/>
  <c r="H36" i="18"/>
  <c r="H35" i="18"/>
  <c r="H32" i="18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36" i="26"/>
  <c r="B50" i="26"/>
  <c r="B51" i="26"/>
  <c r="B52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36" i="26"/>
  <c r="C32" i="26"/>
  <c r="C33" i="26"/>
  <c r="C34" i="26"/>
  <c r="C31" i="26"/>
  <c r="C29" i="26"/>
  <c r="C30" i="26"/>
  <c r="C28" i="26"/>
  <c r="C27" i="26"/>
  <c r="C26" i="26"/>
  <c r="C10" i="26"/>
  <c r="L32" i="18" s="1"/>
  <c r="B10" i="26"/>
  <c r="M32" i="18" s="1"/>
  <c r="A11" i="26"/>
  <c r="H33" i="18" s="1"/>
  <c r="C22" i="26"/>
  <c r="C23" i="26"/>
  <c r="C24" i="26"/>
  <c r="C25" i="26"/>
  <c r="C21" i="26"/>
  <c r="C20" i="26"/>
  <c r="C19" i="26"/>
  <c r="C18" i="26"/>
  <c r="C17" i="26"/>
  <c r="C16" i="26"/>
  <c r="L27" i="18" s="1"/>
  <c r="N27" i="18" s="1"/>
  <c r="E39" i="18"/>
  <c r="C11" i="26" s="1"/>
  <c r="L33" i="18" s="1"/>
  <c r="D39" i="18"/>
  <c r="B11" i="26" s="1"/>
  <c r="M33" i="18" s="1"/>
  <c r="C13" i="26"/>
  <c r="L35" i="18" s="1"/>
  <c r="C14" i="26"/>
  <c r="L36" i="18" s="1"/>
  <c r="B14" i="26"/>
  <c r="M36" i="18" s="1"/>
  <c r="B13" i="26"/>
  <c r="M35" i="18" s="1"/>
  <c r="C8" i="26"/>
  <c r="L30" i="18" s="1"/>
  <c r="C7" i="26"/>
  <c r="L29" i="18" s="1"/>
  <c r="C5" i="26"/>
  <c r="B5" i="26"/>
  <c r="J27" i="18" s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L23" i="18"/>
  <c r="G35" i="2"/>
  <c r="G36" i="2"/>
  <c r="G37" i="2"/>
  <c r="G34" i="2"/>
  <c r="G29" i="2"/>
  <c r="G30" i="2"/>
  <c r="G28" i="2"/>
  <c r="G24" i="2"/>
  <c r="G23" i="2"/>
  <c r="G16" i="2"/>
  <c r="G17" i="2"/>
  <c r="G18" i="2"/>
  <c r="G19" i="2"/>
  <c r="G15" i="2"/>
  <c r="G10" i="2"/>
  <c r="G11" i="2"/>
  <c r="G9" i="2"/>
  <c r="G5" i="2"/>
  <c r="G4" i="2"/>
  <c r="G2" i="2"/>
  <c r="G3" i="23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E4" i="23"/>
  <c r="E4" i="1"/>
  <c r="H25" i="22"/>
  <c r="I25" i="22"/>
  <c r="J25" i="22"/>
  <c r="K25" i="22"/>
  <c r="L25" i="22"/>
  <c r="M25" i="22"/>
  <c r="H26" i="22"/>
  <c r="I26" i="22"/>
  <c r="J26" i="22"/>
  <c r="K26" i="22"/>
  <c r="L26" i="22"/>
  <c r="M26" i="22"/>
  <c r="H24" i="22"/>
  <c r="I24" i="22"/>
  <c r="J24" i="22"/>
  <c r="K24" i="22"/>
  <c r="L24" i="22"/>
  <c r="M24" i="22"/>
  <c r="H21" i="22"/>
  <c r="I21" i="22"/>
  <c r="J21" i="22"/>
  <c r="K21" i="22"/>
  <c r="L21" i="22"/>
  <c r="M21" i="22"/>
  <c r="H22" i="22"/>
  <c r="I22" i="22"/>
  <c r="J22" i="22"/>
  <c r="K22" i="22"/>
  <c r="L22" i="22"/>
  <c r="M22" i="22"/>
  <c r="H20" i="22"/>
  <c r="M20" i="22"/>
  <c r="L20" i="22"/>
  <c r="K20" i="22"/>
  <c r="J20" i="22"/>
  <c r="I20" i="22"/>
  <c r="H18" i="22"/>
  <c r="H17" i="22"/>
  <c r="E18" i="22"/>
  <c r="E17" i="22"/>
  <c r="G42" i="20"/>
  <c r="H42" i="20"/>
  <c r="F42" i="20"/>
  <c r="F27" i="22"/>
  <c r="F26" i="22"/>
  <c r="F25" i="22"/>
  <c r="F24" i="22"/>
  <c r="F22" i="22"/>
  <c r="F21" i="22"/>
  <c r="F20" i="22"/>
  <c r="F18" i="22"/>
  <c r="F17" i="22"/>
  <c r="F15" i="22"/>
  <c r="F14" i="22"/>
  <c r="F13" i="22"/>
  <c r="F12" i="22"/>
  <c r="F11" i="22"/>
  <c r="F9" i="22"/>
  <c r="F8" i="22"/>
  <c r="F7" i="22"/>
  <c r="F5" i="22"/>
  <c r="F4" i="22"/>
  <c r="M18" i="22"/>
  <c r="L18" i="22"/>
  <c r="K18" i="22"/>
  <c r="J18" i="22"/>
  <c r="I18" i="22"/>
  <c r="M17" i="22"/>
  <c r="L17" i="22"/>
  <c r="K17" i="22"/>
  <c r="J17" i="22"/>
  <c r="I17" i="22"/>
  <c r="E24" i="2"/>
  <c r="E23" i="2"/>
  <c r="I2" i="22"/>
  <c r="J2" i="22" s="1"/>
  <c r="K2" i="22" s="1"/>
  <c r="L2" i="22" s="1"/>
  <c r="M2" i="22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F37" i="2"/>
  <c r="F36" i="2"/>
  <c r="F35" i="2"/>
  <c r="F34" i="2"/>
  <c r="F32" i="2"/>
  <c r="F30" i="2"/>
  <c r="F29" i="2"/>
  <c r="F28" i="2"/>
  <c r="F26" i="2"/>
  <c r="F24" i="2"/>
  <c r="F23" i="2"/>
  <c r="F21" i="2"/>
  <c r="F19" i="2"/>
  <c r="F18" i="2"/>
  <c r="F17" i="2"/>
  <c r="F16" i="2"/>
  <c r="F15" i="2"/>
  <c r="F13" i="2"/>
  <c r="F11" i="2"/>
  <c r="F10" i="2"/>
  <c r="F9" i="2"/>
  <c r="F7" i="2"/>
  <c r="F5" i="2"/>
  <c r="F4" i="2"/>
  <c r="H39" i="20"/>
  <c r="G39" i="20"/>
  <c r="F39" i="20"/>
  <c r="E23" i="1" l="1"/>
  <c r="E24" i="1" s="1"/>
  <c r="L22" i="18" s="1"/>
  <c r="G12" i="2"/>
  <c r="H20" i="27" s="1"/>
  <c r="I20" i="27" s="1"/>
  <c r="L39" i="18" s="1"/>
  <c r="F39" i="2"/>
  <c r="G6" i="2"/>
  <c r="G8" i="2" l="1"/>
  <c r="H19" i="27"/>
  <c r="I19" i="27" s="1"/>
  <c r="L38" i="18" s="1"/>
  <c r="L21" i="18"/>
  <c r="D24" i="14"/>
  <c r="D23" i="14"/>
  <c r="C5" i="3"/>
  <c r="G38" i="2"/>
  <c r="H24" i="27" s="1"/>
  <c r="I24" i="27" s="1"/>
  <c r="L43" i="18" s="1"/>
  <c r="G31" i="2"/>
  <c r="G25" i="2"/>
  <c r="G20" i="2"/>
  <c r="G14" i="2"/>
  <c r="G33" i="2" l="1"/>
  <c r="H23" i="27"/>
  <c r="I23" i="27" s="1"/>
  <c r="L42" i="18" s="1"/>
  <c r="G27" i="2"/>
  <c r="H22" i="27"/>
  <c r="I22" i="27" s="1"/>
  <c r="L41" i="18" s="1"/>
  <c r="G22" i="2"/>
  <c r="H21" i="27"/>
  <c r="I21" i="27" s="1"/>
  <c r="L40" i="18" s="1"/>
  <c r="G40" i="2"/>
  <c r="G41" i="2" l="1"/>
  <c r="L20" i="18"/>
  <c r="L24" i="18" s="1"/>
</calcChain>
</file>

<file path=xl/sharedStrings.xml><?xml version="1.0" encoding="utf-8"?>
<sst xmlns="http://schemas.openxmlformats.org/spreadsheetml/2006/main" count="560" uniqueCount="344">
  <si>
    <t>Prioridades de Desarrollo sostenible</t>
  </si>
  <si>
    <t>Numero Criterio</t>
  </si>
  <si>
    <t>Criterio del Fondo Verde Para el Clima</t>
  </si>
  <si>
    <t>Potencial Impacto</t>
  </si>
  <si>
    <t>Potencial de cambio de paradigma</t>
  </si>
  <si>
    <t>Potencial de desarrollo sostenible</t>
  </si>
  <si>
    <t>Eficiencia y Efectividad</t>
  </si>
  <si>
    <t>Peso Criterio</t>
  </si>
  <si>
    <t>Resultado Criterio</t>
  </si>
  <si>
    <t>0=Sin impacto, 1=Muy bajo, 2=Bajo, 3=Medio, 4=Alto, 5=Muy alto</t>
  </si>
  <si>
    <t>Proyecto 1</t>
  </si>
  <si>
    <t>TOTAL</t>
  </si>
  <si>
    <t>Mitigacion</t>
  </si>
  <si>
    <t>Cambio de paradigma</t>
  </si>
  <si>
    <t>Financiación concesional mínima</t>
  </si>
  <si>
    <t>Combinar instrumentos de financiación</t>
  </si>
  <si>
    <t>No desplazamiento de otras financiaciones</t>
  </si>
  <si>
    <t>Rentabilidad</t>
  </si>
  <si>
    <t>Beneficios de Genero</t>
  </si>
  <si>
    <t>Beneficios Sociales</t>
  </si>
  <si>
    <t>Beneficios Ambientales</t>
  </si>
  <si>
    <t>Actividades en curso, impacto y resultados del proyecto se mantienen en el Largo Plazo</t>
  </si>
  <si>
    <t>Alineación con las NDC</t>
  </si>
  <si>
    <t>Medidas transversales que favorezcan sinergias entre sectores</t>
  </si>
  <si>
    <t>Costo por tonelada de CO2 reducida</t>
  </si>
  <si>
    <t>Potencial de apalancamiento financiero</t>
  </si>
  <si>
    <t>Estrategia financiera del proyecto (Capacidad de Cofinanciamiento)</t>
  </si>
  <si>
    <t>EVALUACION FINAL CRITERIO DE INVERSION</t>
  </si>
  <si>
    <t>Evaluación</t>
  </si>
  <si>
    <t>Sub-Criterio (para la evaluación consulte la explicación de los criterios y de los indicadores en esta guía)</t>
  </si>
  <si>
    <t>Evaluación Sub criterio</t>
  </si>
  <si>
    <t>Impacto en Mitigación</t>
  </si>
  <si>
    <t xml:space="preserve">Criterios de adaptación </t>
  </si>
  <si>
    <t>Evaluación Criterio</t>
  </si>
  <si>
    <t>Beneficios Económico</t>
  </si>
  <si>
    <t>Estrategia de salida</t>
  </si>
  <si>
    <t>Necesidades del beneficiario</t>
  </si>
  <si>
    <t>Generación de oportunidades para comunidades y grupos vulnerables</t>
  </si>
  <si>
    <t>Apropiación del País</t>
  </si>
  <si>
    <t>Participación de actores relevantes (capacidad de implementación)</t>
  </si>
  <si>
    <t>Calificación sobre 5</t>
  </si>
  <si>
    <t>CUMPLIMIENTO CON POLITICA FINANCIERA</t>
  </si>
  <si>
    <t>No cumple</t>
  </si>
  <si>
    <t>Cumplimiento muy bajo</t>
  </si>
  <si>
    <t>Cumplimiento medio</t>
  </si>
  <si>
    <t>Cumplimiento alto</t>
  </si>
  <si>
    <t>Total Cumplimiento</t>
  </si>
  <si>
    <t>Calificaciones Cumplimientos</t>
  </si>
  <si>
    <t>Factores de riesgo y medidas de mitigación</t>
  </si>
  <si>
    <t>Matriz de Riesgos</t>
  </si>
  <si>
    <t>Probabilidad de ocurrencia</t>
  </si>
  <si>
    <t>Alta</t>
  </si>
  <si>
    <t>Media</t>
  </si>
  <si>
    <t>Baja</t>
  </si>
  <si>
    <t>Impacto en el proyecto</t>
  </si>
  <si>
    <t>Media = 3</t>
  </si>
  <si>
    <t>Media 3</t>
  </si>
  <si>
    <t>Media baja = 4</t>
  </si>
  <si>
    <t>Baja/Ninguno = 5</t>
  </si>
  <si>
    <t>Media alta = 2</t>
  </si>
  <si>
    <t>Reputacional</t>
  </si>
  <si>
    <t>Sanciones</t>
  </si>
  <si>
    <t>Reputacional:</t>
  </si>
  <si>
    <t>Sanciones:</t>
  </si>
  <si>
    <t>Fallas y faltas de monitoreo de ER</t>
  </si>
  <si>
    <t>Alta = 1</t>
  </si>
  <si>
    <t>Riesgos</t>
  </si>
  <si>
    <t>EVALUACION FINAL CRITERIO DE RIESGO</t>
  </si>
  <si>
    <t>Descripción</t>
  </si>
  <si>
    <t>Percepción adversa del proyecto que ponga en riesgo la reputación del GCF</t>
  </si>
  <si>
    <t>Por acciones ilegales ligadas al proyecto tales como: Sanciones, embargos, lavado de dinero, financiamiento al terrorismo, etc.</t>
  </si>
  <si>
    <t>Técnicos y operativos:</t>
  </si>
  <si>
    <t>Fallas y falta de medición y monitoreo de las emisiones reducidas (ER)</t>
  </si>
  <si>
    <t>Falta de capacidad de ejecución y puesta en operación del proyecto</t>
  </si>
  <si>
    <t>Técnicos y operativos</t>
  </si>
  <si>
    <t>Falta de capacidad de ejecución</t>
  </si>
  <si>
    <t>Contabilidad de subvenciones (grant)</t>
  </si>
  <si>
    <t>Sin Vinculacion</t>
  </si>
  <si>
    <t>Bienestar para todos</t>
  </si>
  <si>
    <t>Lucha contra la pobreza</t>
  </si>
  <si>
    <t>Lucha contra el hambre</t>
  </si>
  <si>
    <t>Acceso al agua</t>
  </si>
  <si>
    <t>Acceso a la energia</t>
  </si>
  <si>
    <t>Reducir la desigualdad en y entre los países.</t>
  </si>
  <si>
    <t>Garantizar modalidades de consumo y producción sostenibles.</t>
  </si>
  <si>
    <t>Crecimiento económico sostenido, inclusivo y sostenible</t>
  </si>
  <si>
    <t>Construir infraestructura resiliente/sostenible/innovadora</t>
  </si>
  <si>
    <t>Asentamientos humanos inclusivos, seguros, resilientes y sostenibles (migracion)</t>
  </si>
  <si>
    <t>Reduccion de emisiones de GEI</t>
  </si>
  <si>
    <t>Recursos marinos</t>
  </si>
  <si>
    <t>Proteger, restablecer y promover el uso sostenible de los ecosistemas terrestres</t>
  </si>
  <si>
    <t>Promover sociedades pacíficas e inclusivas/sostenible, acceso a la justicia para todos</t>
  </si>
  <si>
    <t>Fortalecer  la alianza mundial para el desarrollo sostenible</t>
  </si>
  <si>
    <t>Adaptacion</t>
  </si>
  <si>
    <t>X</t>
  </si>
  <si>
    <t>Vinculacion media (de seis a ocho tematicas)</t>
  </si>
  <si>
    <t>Vinculacion baja (menos de tres tematicas,)</t>
  </si>
  <si>
    <t>Vinculacion minima (de tres a cinco tematicas)</t>
  </si>
  <si>
    <t>Vincculacion alta (de nueve a 11 tematicas)</t>
  </si>
  <si>
    <t>Vinculacion muy alta ( mas de 11 tematicas)</t>
  </si>
  <si>
    <t>Nivel de riesgo para el GCF</t>
  </si>
  <si>
    <t>% Importancia</t>
  </si>
  <si>
    <t>Coincidencia con criterios de inversión</t>
  </si>
  <si>
    <t>Coincidencia con política financiera</t>
  </si>
  <si>
    <t>SELECCIONE EL SECTOR</t>
  </si>
  <si>
    <t>NOMBRE DEL PROYECTO</t>
  </si>
  <si>
    <t>Incidencia en instrumentos de política publica/Planificacion/Educacion</t>
  </si>
  <si>
    <t>Atracción de inversión privada/Nuevos Mercados/Nuevos Productos Financieros</t>
  </si>
  <si>
    <t>Innovación/Nuevas Practicas</t>
  </si>
  <si>
    <t>Disposición a financiar de fuentes alternativas (Bancos/Sector Privado)</t>
  </si>
  <si>
    <t>Acuerdo/Compromiso del gobierno, sociedad civil, stackeholders y grupos vulnerables</t>
  </si>
  <si>
    <t>OBJETO DEL PROYECTO</t>
  </si>
  <si>
    <t>ENERGIA</t>
  </si>
  <si>
    <t>BOSQUES Y USO DE SUELOS</t>
  </si>
  <si>
    <t>AGRICULTURA</t>
  </si>
  <si>
    <t>objetivos de desarrollo sostenible</t>
  </si>
  <si>
    <t>Cumplimiento</t>
  </si>
  <si>
    <t>Igualdad de genero y oportunidades</t>
  </si>
  <si>
    <t>Educacion de Calidad</t>
  </si>
  <si>
    <t>Criterios de Inversión</t>
  </si>
  <si>
    <t>Incidencia en instrumentos de política publica/Planificación/Educación</t>
  </si>
  <si>
    <t>Proyecto 1 a Evaluar</t>
  </si>
  <si>
    <t>Proyecto 2 a Evaluar</t>
  </si>
  <si>
    <t>Proyecto 3 a Evaluar</t>
  </si>
  <si>
    <t>Proyecto 4 a Evaluar</t>
  </si>
  <si>
    <t>Proyecto 5 a Evaluar</t>
  </si>
  <si>
    <t>Proyecto 6 a Evaluar</t>
  </si>
  <si>
    <t>Proyecto 7 a Evaluar</t>
  </si>
  <si>
    <t>Proyecto 8 a Evaluar</t>
  </si>
  <si>
    <t>Impacto medio o parcial</t>
  </si>
  <si>
    <t>Impacto alto o relevante</t>
  </si>
  <si>
    <t xml:space="preserve">Impacto muy alto, </t>
  </si>
  <si>
    <t>Valor entre 0 y 5</t>
  </si>
  <si>
    <t>Sin Impacto, NO afecta positiva ni negativamente</t>
  </si>
  <si>
    <t xml:space="preserve">Impacto muy bajo o mínimo </t>
  </si>
  <si>
    <t xml:space="preserve">Impacto bajo o mínimo </t>
  </si>
  <si>
    <t>Se busca que la Mitigación o reducción de emisiones sea máxima</t>
  </si>
  <si>
    <t>Se busca que el proyecto sea capaz de atraer otros inversionistas, que genere interes en el mercado financiero (bancos)</t>
  </si>
  <si>
    <t>Ambientales</t>
  </si>
  <si>
    <t>Sociales</t>
  </si>
  <si>
    <t>1,2, 7, 8 y 9</t>
  </si>
  <si>
    <t>11, 12, 13, 14, 15,</t>
  </si>
  <si>
    <t>genero</t>
  </si>
  <si>
    <t>Se busca que apoye los ODS 1, 2, 7, 8 y 9</t>
  </si>
  <si>
    <t>Se busca que apoye los ODS 11, 12, 13, 14, y 15</t>
  </si>
  <si>
    <t>Se busca el menor costo por tCO2 reducida</t>
  </si>
  <si>
    <t>Se busca que genere oportunidades de educacion, salud, empleo y recursos economicos para una mejor calidad de vida de los grupos o comunidades vulnerables</t>
  </si>
  <si>
    <t>Se busca que apoye la adaptación al Cambio Climático en la Población, en particular grupos vulnerables</t>
  </si>
  <si>
    <t>Se busca que apoye el ODS 5</t>
  </si>
  <si>
    <t xml:space="preserve"> Respaldado por una variedad de partes interesadas</t>
  </si>
  <si>
    <t>Alineación con las políticas nacionales (especialmente las NDC, los Programa País, Planes Nacionales de Adaptación, etc.</t>
  </si>
  <si>
    <t>Apoyan el desarrollo para responder a los efectos y riesgos climáticos</t>
  </si>
  <si>
    <t>Existe interes de fuentes alternativas de financiamiento</t>
  </si>
  <si>
    <t>Se busca que este considerado y sea una prioridad en los NDC, Programa Pais, Planes Nacionales de Adaptacion</t>
  </si>
  <si>
    <t>Se busca que este considerado en los planes de adaptacion y control o mitigacion de riesgos climaticos</t>
  </si>
  <si>
    <t>Se busca que involucre a los usuarios de toda la cadena de valor en la identificación de las mejoras necesarias en la gestión de los recursos naturales, el mercado, la comercialización y la infraestructura de transporte. Ademas de otras fuentes de financiamiento</t>
  </si>
  <si>
    <t>Se busca que apoye la implementación de nuevos mecanismos institucionales, de gobernanza o coordinación que se necesitan para conseguir el compromiso del país; participación de las partes interesadas, lo que implica demostrar que el proyecto/programa se ha elaborado en consulta con las organizaciones de la sociedad civil y otras partes interesadas relevantes, con especial atención a la igualdad de género</t>
  </si>
  <si>
    <t>Se busca obtener el consentimiento libre, previo e informado de los pueblos indígenas y las comunidades que posiblemente se vean afectadas por el proyecto y se incluyen mecanismos para la participación constante de las partes interesadas.</t>
  </si>
  <si>
    <t xml:space="preserve">Se busca que existan fuentes alternativas de financiamiento, que apoye desarrollo económico y social del país y la población afectada. </t>
  </si>
  <si>
    <t>Se busca que el proyecto apoye a la mayor cantidad de personas que dependen de los bosques y comunidades, cuyos medios de vida desaparecen o sufren pérdidas no económicas (patrimonio cultural, conocimientos indígenas, identidad social/cultural), como producto de la deforestación o la degradación de los bosques a raíz del cambio climático.</t>
  </si>
  <si>
    <t xml:space="preserve">Se busca reducir la vulnerabilidad y desafíos que afrontan los agricultores y los sistemas alimentarios a raíz del cambio climático. </t>
  </si>
  <si>
    <t>Se busca que las partes interesadas principales comprenden y están comprometidas con reorientar cómo los alimentos se producen y consumen en el país. Existencia de marcos normativos que apoyan el proyecto.</t>
  </si>
  <si>
    <t>Se busca contar con condiciones propicias o planes claros para crear estas condiciones y eliminar los obstáculos resulta indispensable para los enfoques multisectoriales e intersectoriales tendientes a mejorar el sector agrícola y de la seguridad alimentaria.</t>
  </si>
  <si>
    <t>Se busca la implementación de nuevos mecanismos institucionales, de gobernanza o coordinación que se necesitan para conseguir el compromiso del país</t>
  </si>
  <si>
    <t>Se busca que los actores relevantes en particular autoridades del sector hubieran aprobado y apoyen el proyecto.</t>
  </si>
  <si>
    <t>Se busca que existan otras entidades que financian intervenciones similares en las mismas area geografica</t>
  </si>
  <si>
    <t>Se busca la promoción que la protección, restauración y gestión sostenible de los bosques genere demanda. Que la actividad tenga potencial para catalizar o impulsar otras inversiones (cofinanciamiento)</t>
  </si>
  <si>
    <t>Se busca que el proyecto/programa aplique buenas prácticas de la industria y un grado de innovación, incluidas las pertinentes a los pueblos indígenas y las comunidades locales, y las mejores tecnologías del mercado</t>
  </si>
  <si>
    <t>Se busca que cuente con mecanismos innovadores de financiación y opciones de participación en los gastos, ya sea provenientes de los agricultores locales o el sector privado, u otros donantes o inversionistas internacionales.</t>
  </si>
  <si>
    <t>Se busca demostrar que las actividades pueden ser rentables y viables, y que se basan en las mejores prácticas</t>
  </si>
  <si>
    <t>Se busca que los análisis económicos sean sólidos y las tasas de rentabilidad financiera con el proyecto y sin él, en distintos escenarios climáticos y de riesgo favorescan a todos los sectores</t>
  </si>
  <si>
    <t>Se busca que el proyecto tenga capacidad de apalancamiento financiero</t>
  </si>
  <si>
    <t>Se busca que exista interes de otras entidas en financiar o cofinanciar el proyecto</t>
  </si>
  <si>
    <t>Que la ejecucion del proyecto apoye a otros sectores y genere el crecimiento economico en el area de intervencion</t>
  </si>
  <si>
    <t>Busca erradicar la pobreza en todas sus formas sigue siendo uno de los principales desafíos que enfrenta la humanidad. Esto requiere enfocarse en los más vulnerables, aumentar el acceso a los recursos y servicios básicos y apoyar a las comunidades afectadas por conflictos y desastres relacionados con el clima.</t>
  </si>
  <si>
    <t>Busca terminar con todas las formas de hambre y desnutrición, velar por el acceso de todas las personas en especial los niños a una alimentación suficiente y nutritiva durante todo el año. Implica promover prácticas agrícolas sostenibles con los pequeños agricultores y el acceso igualitario a la tierra, la tecnología y los mercados. Requiere asegurar la inversión en la infraestructura y la tecnología necesaria para mejorar la productividad agrícola.</t>
  </si>
  <si>
    <t> Busca asegurar que todas las niñas y niños completen su educación primaria y secundaria gratuita para 2030. También aspira a proporcionar acceso igualitario a formación técnica asequible y eliminar las disparidades de género e ingresos, además de lograr el acceso universal a educación superior de calidad.</t>
  </si>
  <si>
    <t>Busca garantizar el acceso universal a salud reproductiva y sexual y otorgar a la mujer derechos igualitarios en el acceso a recursos económicos, fuentes de trabajo, derecho a la propiedad de la tierras y otras propiedades. Empoderar a las mujeres y niñas tiene un efecto multiplicador y ayuda a promover el crecimiento económico y el desarrollo a nivel mundial</t>
  </si>
  <si>
    <t>Busca asegurar el agua potable segura y asequible. Por lo que es necesario realizar inversiones adecuadas en infraestructura, proporcionar instalaciones sanitarias y fomentar prácticas de higiene, servicios de saneamiento administrados de manera segura (con excrementos adecuadamente dispuestos o tratados).</t>
  </si>
  <si>
    <t>Busca invertir para expandir la infraestructura y mejorar la tecnología para contar con energía limpia en todos los países en desarrollo, es un objetivo crucial que puede estimular el crecimiento y a la vez ayudar al medio ambiente, de esta manera reducir la dependencia de los combustibles fósiles</t>
  </si>
  <si>
    <t>Busca lograr empleo pleno, inclusivo, productivo y un trabajo decente para todos, fomentando políticas que estimulen el espíritu empresarial y la creación de empleo, así como las medidas eficaces para erradicar el trabajo forzoso, la esclavitud y el tráfico humano.</t>
  </si>
  <si>
    <t>Trabajo decente y crecimiento económico</t>
  </si>
  <si>
    <t xml:space="preserve">Busca reducir la brecha digital para garantizar el acceso igualitario a la información, el conocimiento, y promover la innovación y el emprendimiento. Promoción de industrias sostenibles y la inversión en investigación e innovación científicas. </t>
  </si>
  <si>
    <t>Busca promover la inclusión económica de todos y todas, independientemente de su género, raza o etnia. Estas incluyen mejorar la regulación y el control de los mercados y las instituciones financieras, fomentar la asistencia para el desarrollo y la inversión extranjera directa para las regiones que más lo necesiten. Otro factor clave para salvar esta distancia es facilitar la migración y la movilidad segura de las personas</t>
  </si>
  <si>
    <t>Ciudades y comunidades sostenibles</t>
  </si>
  <si>
    <t>Busca mejorar la seguridad y la sostenibilidad de las ciudades, garantizar el acceso a viviendas seguras y asequibles y el mejoramiento de los asentamientos marginales. También incluye realizar inversiones en transporte público, crear áreas públicas verdes y mejorar la planificación y gestión urbana de manera que sea participativa e inclusiva.</t>
  </si>
  <si>
    <t>Busca generar un marco para ordenar y proteger de manera sostenible los ecosistemas marinos y costeros de la contaminación terrestre, así como para abordar los impactos de la acidificación de los océanos. Mejorar la conservación y el uso sostenible de los recursos oceánicos a través del derecho internacional que ayudará a mitigar algunos de los retos que enfrentan los océanos</t>
  </si>
  <si>
    <t>Vida de los ecosistemas terrestres</t>
  </si>
  <si>
    <t>Busca que se tomen medidas urgentes para reducir la pérdida de hábitats naturales y biodiversidad (bosques, humedales, manglares, etc.) que forman parte de nuestro patrimonio común, apoyar la seguridad alimentaria y del agua a nivel mundial, la mitigación y adaptación al cambio climático, la paz y la seguridad</t>
  </si>
  <si>
    <t>Paz, justicia e instituciones solidas</t>
  </si>
  <si>
    <t>Busca reducir sustancialmente todas las formas de violencia y trabajar con los gobiernos y las comunidades para encontrar soluciones duraderas a los conflictos e inseguridad. El fortalecimiento del Estado de derecho y la promoción de los derechos humanos es fundamental en este proceso, la reducción del flujo de armas ilícitas y la participación de los países en desarrollo en las instituciones de gobernabilidad mundial.</t>
  </si>
  <si>
    <t>Alianza para lograr los objetivos</t>
  </si>
  <si>
    <t>Busca promover el comercio internacional y ayudar a los países en desarrollo para que aumenten sus exportaciones, forma parte del desafío de lograr un sistema de comercio universal equitativo y basado en reglas que sea justo, abierto y beneficie a todos</t>
  </si>
  <si>
    <t>Objetivos de desarrollo sostenible</t>
  </si>
  <si>
    <t>Evaluación sobre cinco (5) puntos</t>
  </si>
  <si>
    <t>EVALUACION DEL PROYECTO</t>
  </si>
  <si>
    <t>Vinculación con los ODS</t>
  </si>
  <si>
    <t>Vinculado</t>
  </si>
  <si>
    <t>Grado de Vinculacion</t>
  </si>
  <si>
    <t>Vinculacion</t>
  </si>
  <si>
    <t>Programa Marco estratégico para elaborar uma agenda regional de proteção  dos  povos indígenas em isolamento voluntário e contato inicial (1ra fase BID).</t>
  </si>
  <si>
    <t xml:space="preserve">Contribuir para a Agenda Regional para a Proteção dos Povos Indígenas em Isolamento e Contato Inicial (PIACI), através da definição de políticas e ações efetivas acordadas entre governos, povos, organizações indígenas e organizações não governamentais (ONG) com experiência no assunto. </t>
  </si>
  <si>
    <t>Genero</t>
  </si>
  <si>
    <t>Económicos</t>
  </si>
  <si>
    <t>No vinculado</t>
  </si>
  <si>
    <t>Adaptación</t>
  </si>
  <si>
    <t>Mitigación</t>
  </si>
  <si>
    <t>económicos</t>
  </si>
  <si>
    <t>Busca una cobertura universal de salud. Toma en cuenta la ampliación de las desigualdades económicas y sociales, la rápida urbanización, las amenazas para el clima y el medio ambiente, la lucha continua contra el VIH y otras enfermedades infecciosas, y los nuevos problemas de salud, como las enfermedades no transmisibles.</t>
  </si>
  <si>
    <t>Educación de Calidad</t>
  </si>
  <si>
    <t>Acceso al agua limpia y saneamiento</t>
  </si>
  <si>
    <t>Energía asequible y no contaminante</t>
  </si>
  <si>
    <t xml:space="preserve">Industria, Innovación e Infraestructura </t>
  </si>
  <si>
    <t>Producción y consumo responsables</t>
  </si>
  <si>
    <t>Busca reducir la huella ecológica mediante un cambio en los métodos de producción y consumo de bienes y recursos. Gestión eficiente de los recursos naturales y la forma de eliminación los desechos tóxicos y contaminantes. Incentivar a las industrias, los negocios y los consumidores a reciclar y reducir los desechos</t>
  </si>
  <si>
    <t>Acción por el Clima</t>
  </si>
  <si>
    <t>Busca reducir las emisiones de GEI, apoyar a las regiones más vulnerables ante el cambio climático y los desastres naturales. Apoyar acciones destinadas a integrar medidas de reducción del riesgo de desastres en las políticas y estrategias nacionales</t>
  </si>
  <si>
    <t>El proyecto tiene otras alternativas de financiamiento ?</t>
  </si>
  <si>
    <t>El proyecto es rentable y tiene capacidad de repago ?</t>
  </si>
  <si>
    <t>El proyecto logrará cambios en las Políticas Publicas, normativa o planificación del país para maximizar la mitigación y la adaptación</t>
  </si>
  <si>
    <t>Desde la política financiera lo mejor es que el proyecto no requiera fondos concesionales</t>
  </si>
  <si>
    <t>El proyecto es de interés de otros financiadores ?</t>
  </si>
  <si>
    <t>Cumplimiento mínimo</t>
  </si>
  <si>
    <t>Se busca que el proyecto tenga la capacidad de generar los cambios en Políticas Publicas, normativa o planificación del país para maximizar la mitigación y la adaptación</t>
  </si>
  <si>
    <t>Se busca que el proyecto sea capaz de atraer otros inversionistas, que genere interés en el mercado financiero (bancos)</t>
  </si>
  <si>
    <t>Se busca que el proyecto apoye la utilización de nuevas tecnologías, formas modernas de realizar sus actividades, información y conocimiento que apoye al país</t>
  </si>
  <si>
    <t>Se busca que apoye los ODS 3, 4, 6, 7, 10, 12, 16 y 17</t>
  </si>
  <si>
    <t>Se busca que una vez ejecutado el proyecto, este sea sostenible en le largo plazo, sea replicable y preserve el conocimiento en los participantes</t>
  </si>
  <si>
    <t>Implicacion Nacional</t>
  </si>
  <si>
    <t>Criterios</t>
  </si>
  <si>
    <t>Mitigación: Reducción de emisiones de:</t>
  </si>
  <si>
    <t xml:space="preserve">Acceso a la energía y generación de energía. </t>
  </si>
  <si>
    <t>Silvicultura y uso de la tierra, Ecosistemas y servicios ecosistémicos</t>
  </si>
  <si>
    <t>Respuesta</t>
  </si>
  <si>
    <t>BENEFICIARIOS DEL PROYECTO</t>
  </si>
  <si>
    <t>Beneficiarios Directos</t>
  </si>
  <si>
    <t>Beneficiarios Indirectos</t>
  </si>
  <si>
    <t>0 a 100 familias</t>
  </si>
  <si>
    <t>101 a 500 familias</t>
  </si>
  <si>
    <t>501 a 1.000 familias</t>
  </si>
  <si>
    <t>&gt; a 1.000 familias</t>
  </si>
  <si>
    <t>Mitigación/Adaptación</t>
  </si>
  <si>
    <t xml:space="preserve"> Personas y comunidades más vulnerables, seguridad hídrica y alimentaria</t>
  </si>
  <si>
    <t>0 a 25% de la población del Municipio</t>
  </si>
  <si>
    <t>25.1 a 50% de la población del Municipio</t>
  </si>
  <si>
    <t>&gt; al 50.1% de la población del Municipio</t>
  </si>
  <si>
    <t>Toda la poblacion de la amazonia</t>
  </si>
  <si>
    <t>No tiene</t>
  </si>
  <si>
    <t>Muy bajo o minimo</t>
  </si>
  <si>
    <t>Alta o Relevante</t>
  </si>
  <si>
    <t>IMPLEMENTACION Y VIDA UTIL</t>
  </si>
  <si>
    <t>años</t>
  </si>
  <si>
    <t xml:space="preserve">Implementación </t>
  </si>
  <si>
    <t>Vida útil</t>
  </si>
  <si>
    <t>Localización del Proyecto</t>
  </si>
  <si>
    <t>Monedas</t>
  </si>
  <si>
    <t>Euros</t>
  </si>
  <si>
    <t>Dolares</t>
  </si>
  <si>
    <t>Reales</t>
  </si>
  <si>
    <t>Emisiones GEI evitadas</t>
  </si>
  <si>
    <r>
      <t>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/año</t>
    </r>
  </si>
  <si>
    <t>Costo por tCO2 reducida</t>
  </si>
  <si>
    <r>
      <t>tCO</t>
    </r>
    <r>
      <rPr>
        <vertAlign val="sub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/año</t>
    </r>
  </si>
  <si>
    <t>El proyecto tienen potencial para cambiar paradigmas</t>
  </si>
  <si>
    <t>Apalancamiento financiero</t>
  </si>
  <si>
    <t>Capacidad de Cofinanciamiento</t>
  </si>
  <si>
    <t xml:space="preserve"> Impacto y resultados del proyecto se mantienen en el Largo Plazo</t>
  </si>
  <si>
    <t>Media o Parcialmente</t>
  </si>
  <si>
    <t>Aspectos Financieros</t>
  </si>
  <si>
    <t>Apoyo al desarrollo para responder a los efectos y riesgos climáticos</t>
  </si>
  <si>
    <t>Existe capacidad de implementación</t>
  </si>
  <si>
    <t>Sinergias entre sectores</t>
  </si>
  <si>
    <t>Costo por tonelada de CO2</t>
  </si>
  <si>
    <t>Coincidencia con Objetivos de Desarrollo Sostenible (ODS)</t>
  </si>
  <si>
    <t>Existen acuerdo o compromiso del gobierno, sociedad civil y grupos vulnerables</t>
  </si>
  <si>
    <t>NO vinculado</t>
  </si>
  <si>
    <t>RESUMEN DEL PROYECTO</t>
  </si>
  <si>
    <t>Área de resultados del proyecto</t>
  </si>
  <si>
    <t>Áreas de resultados para el proyecto/programa.</t>
  </si>
  <si>
    <t>Impacto en adaptación</t>
  </si>
  <si>
    <t>Inversión requerida</t>
  </si>
  <si>
    <t>Implementación</t>
  </si>
  <si>
    <t>El proyecto tiene impacto en mitigación, adaptación o ambos</t>
  </si>
  <si>
    <t>Incidencia en Políticas Publicas</t>
  </si>
  <si>
    <t>Interés de inversores privados</t>
  </si>
  <si>
    <t>El proyecto tienen potencial para apoyar el desarrollo sostenible y genera los siguientes beneficios</t>
  </si>
  <si>
    <t>Existe interés de fuentes alternativas de financiamiento</t>
  </si>
  <si>
    <t>Implicación Nacional</t>
  </si>
  <si>
    <t>Están alineados con las NDC</t>
  </si>
  <si>
    <t>El proyecto esta vinculado o apoya la consecución de los Objetivos de Desarrollo Sostenible establecidos por Naciones Unidas</t>
  </si>
  <si>
    <t>Impactos del Proyecto</t>
  </si>
  <si>
    <t>Tiempos estimados para el proyecto</t>
  </si>
  <si>
    <t>Coincidencia con Criterios y Subcriterios de Inversión Climática</t>
  </si>
  <si>
    <t>Potencial Impacto en Mitigacion y Adaptacion</t>
  </si>
  <si>
    <t>Potencial de desarrollo sostenible Estrategia de salida</t>
  </si>
  <si>
    <t>Bajo o Baja</t>
  </si>
  <si>
    <t>Muy alta o Muy alto</t>
  </si>
  <si>
    <t>Vinculado con:</t>
  </si>
  <si>
    <t>Objetivos Económicos ODS = cinco</t>
  </si>
  <si>
    <t>Objetivos Ambientales ODS = cinco</t>
  </si>
  <si>
    <t>Objetivos de Genero ODS = uno</t>
  </si>
  <si>
    <t>de 5 ODS</t>
  </si>
  <si>
    <t>de 1 ODS</t>
  </si>
  <si>
    <t>de 17 ODS</t>
  </si>
  <si>
    <t>3, 4, 6, 10, 16 y 17</t>
  </si>
  <si>
    <t>de 6 ODS</t>
  </si>
  <si>
    <t>Área de Resultados</t>
  </si>
  <si>
    <t>Inversión estimada</t>
  </si>
  <si>
    <t>Potencial Impacto en Mitigación y Adaptación</t>
  </si>
  <si>
    <t>Objetivos Sociales ODS = seis</t>
  </si>
  <si>
    <t>Micro escala &lt; = 20 ktCO2/año</t>
  </si>
  <si>
    <t>Pequeña Escala 20 a 60 ktCO2/año</t>
  </si>
  <si>
    <t>Gran escala &gt; a 60 ktCO2/año</t>
  </si>
  <si>
    <t>Municipio San Matias/Bolivia</t>
  </si>
  <si>
    <t>INVERSION ESTIMADA Y MITIGACION</t>
  </si>
  <si>
    <t>¿La idea del proyecto cumple con los criterios de Inversión y los ODS?</t>
  </si>
  <si>
    <t>EVALUACION PRELIMINAR</t>
  </si>
  <si>
    <t>Vinculación o relación  con los Objetivos de Desarrollo Sostenible (ODS)</t>
  </si>
  <si>
    <t>Total (vinculado/relacionado con) :</t>
  </si>
  <si>
    <t>Eficiencia y Efectividad Financiera</t>
  </si>
  <si>
    <t>Ecoeficiencia</t>
  </si>
  <si>
    <t>Energia</t>
  </si>
  <si>
    <t>Agricultura</t>
  </si>
  <si>
    <t>Uso de suelos</t>
  </si>
  <si>
    <t>Sector seleccionado</t>
  </si>
  <si>
    <t>No aplica</t>
  </si>
  <si>
    <t>Maximiza el uso de recursos renovables contra no renovables</t>
  </si>
  <si>
    <t>Optimiza consumo de materia prima/materiales</t>
  </si>
  <si>
    <t>Optimiza el consumo de agua</t>
  </si>
  <si>
    <t>Optimiza consumo de energía</t>
  </si>
  <si>
    <t>Optimiza del espacio utilizado por el proyecto (Suelo)</t>
  </si>
  <si>
    <t>(*) Peso del criterio = 0%, significa que no aplica</t>
  </si>
  <si>
    <t>El proyecto optimiza/minimiza la cantidad de suelo ocupado</t>
  </si>
  <si>
    <t>El proyecto optimiza/minimiza el uso del agua</t>
  </si>
  <si>
    <t>El proyecto optimiza/minimiza el uso de energía</t>
  </si>
  <si>
    <t>El proyecto hace uso optimo del suelo y su ocupación</t>
  </si>
  <si>
    <t>Los materiales utilizados en el Proyecto tienen posibilidad de reciclaje y prevé manejo optimo de residuos</t>
  </si>
  <si>
    <t>Los promotores del Proyecto maximizan el uso de recursos renovables</t>
  </si>
  <si>
    <t>CUMPLIMIENTO CON POLÍTICA FINANCIERA</t>
  </si>
  <si>
    <t>Evaluación subcriterio Cambio Paradigma y Contabilidad de Subvenciones</t>
  </si>
  <si>
    <t>Reducción/optimización del Uso de Recursos (Consumo) (*)</t>
  </si>
  <si>
    <t>Posibilidades de reciclaje y gestión de residuos.</t>
  </si>
  <si>
    <t>Evaluación subcriterio Ecoeficiencia</t>
  </si>
  <si>
    <t>EVALUACIÓN FINAL CRITERIO POLÍTICA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</si>
</sst>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1F1F1F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5"/>
        <bgColor theme="5"/>
      </patternFill>
    </fill>
    <fill>
      <patternFill patternType="solid">
        <fgColor rgb="FFD8D8D8"/>
        <bgColor rgb="FFD8D8D8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auto="1"/>
      </top>
      <bottom style="double">
        <color auto="1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338">
    <xf numFmtId="0" fontId="0" fillId="0" borderId="0" xfId="0"/>
    <xf numFmtId="0" fontId="0" fillId="0" borderId="7" xfId="0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0" fillId="0" borderId="9" xfId="0" applyBorder="1" applyAlignment="1">
      <alignment horizontal="left" wrapText="1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1" fillId="0" borderId="17" xfId="0" applyFont="1" applyBorder="1"/>
    <xf numFmtId="0" fontId="1" fillId="0" borderId="0" xfId="0" applyFont="1" applyAlignment="1">
      <alignment horizontal="center"/>
    </xf>
    <xf numFmtId="0" fontId="1" fillId="0" borderId="15" xfId="0" applyFont="1" applyBorder="1"/>
    <xf numFmtId="0" fontId="1" fillId="0" borderId="14" xfId="0" applyFont="1" applyBorder="1"/>
    <xf numFmtId="2" fontId="1" fillId="0" borderId="14" xfId="0" applyNumberFormat="1" applyFont="1" applyBorder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3" borderId="19" xfId="0" applyFill="1" applyBorder="1" applyAlignment="1">
      <alignment vertical="center"/>
    </xf>
    <xf numFmtId="0" fontId="0" fillId="3" borderId="19" xfId="0" applyFill="1" applyBorder="1" applyAlignment="1">
      <alignment horizontal="center" vertical="center"/>
    </xf>
    <xf numFmtId="9" fontId="0" fillId="3" borderId="19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9" fontId="0" fillId="3" borderId="9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0" fillId="3" borderId="12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>
      <alignment vertical="center" wrapText="1"/>
    </xf>
    <xf numFmtId="9" fontId="0" fillId="2" borderId="10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vertical="center" wrapText="1"/>
    </xf>
    <xf numFmtId="9" fontId="0" fillId="2" borderId="9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3" borderId="10" xfId="0" applyFill="1" applyBorder="1" applyAlignment="1">
      <alignment horizontal="center" vertical="center"/>
    </xf>
    <xf numFmtId="9" fontId="0" fillId="3" borderId="10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2" borderId="11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0" fillId="0" borderId="21" xfId="0" applyBorder="1"/>
    <xf numFmtId="0" fontId="0" fillId="0" borderId="4" xfId="0" applyBorder="1"/>
    <xf numFmtId="0" fontId="0" fillId="5" borderId="7" xfId="0" applyFill="1" applyBorder="1" applyAlignment="1">
      <alignment horizontal="center" wrapText="1"/>
    </xf>
    <xf numFmtId="0" fontId="0" fillId="5" borderId="7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7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wrapText="1"/>
    </xf>
    <xf numFmtId="0" fontId="0" fillId="9" borderId="7" xfId="0" applyFill="1" applyBorder="1" applyAlignment="1">
      <alignment horizontal="center" vertical="center" wrapText="1"/>
    </xf>
    <xf numFmtId="0" fontId="0" fillId="0" borderId="1" xfId="0" applyBorder="1" applyAlignment="1">
      <alignment horizontal="right" indent="1"/>
    </xf>
    <xf numFmtId="0" fontId="0" fillId="0" borderId="20" xfId="0" applyBorder="1" applyAlignment="1">
      <alignment horizontal="right" indent="1"/>
    </xf>
    <xf numFmtId="0" fontId="1" fillId="0" borderId="16" xfId="0" applyFont="1" applyBorder="1"/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wrapText="1"/>
    </xf>
    <xf numFmtId="9" fontId="0" fillId="0" borderId="9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left" wrapText="1" indent="3"/>
    </xf>
    <xf numFmtId="0" fontId="0" fillId="0" borderId="11" xfId="0" applyBorder="1" applyAlignment="1">
      <alignment horizontal="left" wrapText="1" indent="3"/>
    </xf>
    <xf numFmtId="9" fontId="0" fillId="0" borderId="11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9" fontId="0" fillId="0" borderId="19" xfId="0" applyNumberFormat="1" applyBorder="1" applyAlignment="1">
      <alignment horizontal="center"/>
    </xf>
    <xf numFmtId="9" fontId="0" fillId="0" borderId="9" xfId="0" applyNumberForma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1" fillId="5" borderId="16" xfId="0" applyFont="1" applyFill="1" applyBorder="1" applyAlignment="1">
      <alignment horizontal="left" vertical="center" wrapText="1"/>
    </xf>
    <xf numFmtId="0" fontId="1" fillId="5" borderId="16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5" borderId="1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9" fontId="0" fillId="2" borderId="10" xfId="0" applyNumberFormat="1" applyFill="1" applyBorder="1" applyAlignment="1">
      <alignment horizontal="center" vertical="center" wrapText="1"/>
    </xf>
    <xf numFmtId="9" fontId="0" fillId="3" borderId="10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/>
    </xf>
    <xf numFmtId="0" fontId="0" fillId="0" borderId="7" xfId="0" applyBorder="1" applyAlignment="1">
      <alignment horizontal="center" wrapText="1"/>
    </xf>
    <xf numFmtId="9" fontId="0" fillId="2" borderId="9" xfId="0" applyNumberFormat="1" applyFill="1" applyBorder="1" applyAlignment="1">
      <alignment horizontal="center" vertical="center" wrapText="1"/>
    </xf>
    <xf numFmtId="9" fontId="0" fillId="3" borderId="9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10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9" xfId="0" applyFill="1" applyBorder="1" applyAlignment="1">
      <alignment vertical="top" wrapText="1"/>
    </xf>
    <xf numFmtId="0" fontId="8" fillId="2" borderId="10" xfId="0" applyFont="1" applyFill="1" applyBorder="1" applyAlignment="1">
      <alignment vertical="center" wrapText="1"/>
    </xf>
    <xf numFmtId="0" fontId="3" fillId="0" borderId="0" xfId="0" applyFont="1"/>
    <xf numFmtId="0" fontId="1" fillId="5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center"/>
    </xf>
    <xf numFmtId="9" fontId="9" fillId="3" borderId="9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9" fontId="9" fillId="2" borderId="9" xfId="0" applyNumberFormat="1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0" fillId="3" borderId="13" xfId="0" applyFill="1" applyBorder="1" applyAlignment="1">
      <alignment vertical="center" wrapText="1"/>
    </xf>
    <xf numFmtId="9" fontId="0" fillId="3" borderId="13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9" fontId="0" fillId="2" borderId="13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9" fontId="1" fillId="2" borderId="10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/>
    </xf>
    <xf numFmtId="0" fontId="0" fillId="0" borderId="14" xfId="0" applyBorder="1"/>
    <xf numFmtId="0" fontId="0" fillId="5" borderId="11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left"/>
    </xf>
    <xf numFmtId="49" fontId="0" fillId="0" borderId="0" xfId="0" applyNumberFormat="1" applyAlignment="1">
      <alignment wrapText="1"/>
    </xf>
    <xf numFmtId="0" fontId="10" fillId="0" borderId="0" xfId="0" applyFont="1" applyAlignment="1">
      <alignment horizontal="left" vertical="center"/>
    </xf>
    <xf numFmtId="0" fontId="0" fillId="0" borderId="48" xfId="0" applyBorder="1" applyAlignment="1">
      <alignment horizontal="center" vertical="center" wrapText="1"/>
    </xf>
    <xf numFmtId="0" fontId="0" fillId="11" borderId="0" xfId="0" applyFill="1" applyAlignment="1">
      <alignment horizontal="center" vertical="center"/>
    </xf>
    <xf numFmtId="0" fontId="0" fillId="11" borderId="0" xfId="0" applyFill="1"/>
    <xf numFmtId="0" fontId="0" fillId="11" borderId="0" xfId="0" applyFill="1" applyAlignment="1">
      <alignment horizontal="left" vertical="center"/>
    </xf>
    <xf numFmtId="49" fontId="11" fillId="0" borderId="46" xfId="0" applyNumberFormat="1" applyFont="1" applyBorder="1" applyAlignment="1">
      <alignment horizontal="left" vertical="top" wrapText="1"/>
    </xf>
    <xf numFmtId="0" fontId="0" fillId="11" borderId="44" xfId="0" applyFill="1" applyBorder="1" applyAlignment="1">
      <alignment horizontal="center" vertical="center"/>
    </xf>
    <xf numFmtId="0" fontId="8" fillId="0" borderId="48" xfId="0" applyFont="1" applyBorder="1" applyAlignment="1">
      <alignment horizontal="center" vertical="center" wrapText="1"/>
    </xf>
    <xf numFmtId="49" fontId="11" fillId="0" borderId="46" xfId="0" applyNumberFormat="1" applyFont="1" applyBorder="1" applyAlignment="1">
      <alignment horizontal="left" vertical="center" wrapText="1"/>
    </xf>
    <xf numFmtId="0" fontId="7" fillId="11" borderId="44" xfId="0" applyFont="1" applyFill="1" applyBorder="1" applyAlignment="1">
      <alignment horizontal="center" vertical="center"/>
    </xf>
    <xf numFmtId="0" fontId="11" fillId="0" borderId="4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0" fillId="5" borderId="7" xfId="0" applyFill="1" applyBorder="1"/>
    <xf numFmtId="0" fontId="0" fillId="0" borderId="23" xfId="0" applyBorder="1"/>
    <xf numFmtId="0" fontId="0" fillId="0" borderId="22" xfId="0" applyBorder="1"/>
    <xf numFmtId="0" fontId="0" fillId="0" borderId="25" xfId="0" applyBorder="1"/>
    <xf numFmtId="0" fontId="0" fillId="0" borderId="26" xfId="0" applyBorder="1"/>
    <xf numFmtId="0" fontId="11" fillId="0" borderId="7" xfId="0" applyFont="1" applyBorder="1" applyAlignment="1">
      <alignment horizontal="center" vertical="top" wrapText="1"/>
    </xf>
    <xf numFmtId="0" fontId="0" fillId="0" borderId="24" xfId="0" applyBorder="1"/>
    <xf numFmtId="0" fontId="0" fillId="0" borderId="29" xfId="0" applyBorder="1"/>
    <xf numFmtId="0" fontId="0" fillId="0" borderId="30" xfId="0" applyBorder="1"/>
    <xf numFmtId="0" fontId="0" fillId="0" borderId="27" xfId="0" applyBorder="1"/>
    <xf numFmtId="3" fontId="0" fillId="5" borderId="7" xfId="0" applyNumberFormat="1" applyFill="1" applyBorder="1"/>
    <xf numFmtId="0" fontId="11" fillId="0" borderId="0" xfId="0" applyFont="1" applyAlignment="1">
      <alignment horizontal="left" vertical="top" wrapText="1"/>
    </xf>
    <xf numFmtId="0" fontId="0" fillId="11" borderId="7" xfId="0" applyFill="1" applyBorder="1" applyAlignment="1">
      <alignment horizontal="center" vertical="center"/>
    </xf>
    <xf numFmtId="3" fontId="0" fillId="11" borderId="44" xfId="0" applyNumberFormat="1" applyFill="1" applyBorder="1" applyAlignment="1">
      <alignment horizontal="center" vertical="center"/>
    </xf>
    <xf numFmtId="0" fontId="15" fillId="0" borderId="7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49" fontId="1" fillId="12" borderId="45" xfId="0" applyNumberFormat="1" applyFont="1" applyFill="1" applyBorder="1" applyAlignment="1">
      <alignment wrapText="1"/>
    </xf>
    <xf numFmtId="0" fontId="1" fillId="12" borderId="45" xfId="0" applyFont="1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right"/>
    </xf>
    <xf numFmtId="0" fontId="1" fillId="0" borderId="55" xfId="0" applyFont="1" applyBorder="1"/>
    <xf numFmtId="0" fontId="1" fillId="0" borderId="55" xfId="0" applyFont="1" applyBorder="1" applyAlignment="1">
      <alignment horizontal="right"/>
    </xf>
    <xf numFmtId="0" fontId="1" fillId="0" borderId="55" xfId="0" applyFont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0" fontId="1" fillId="0" borderId="50" xfId="0" applyFont="1" applyBorder="1"/>
    <xf numFmtId="0" fontId="0" fillId="0" borderId="50" xfId="0" applyBorder="1"/>
    <xf numFmtId="0" fontId="0" fillId="0" borderId="12" xfId="0" applyBorder="1" applyAlignment="1">
      <alignment horizontal="left" indent="2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10" xfId="0" applyBorder="1" applyAlignment="1">
      <alignment horizontal="left" indent="2"/>
    </xf>
    <xf numFmtId="3" fontId="0" fillId="0" borderId="10" xfId="0" applyNumberFormat="1" applyBorder="1" applyAlignment="1">
      <alignment horizontal="center"/>
    </xf>
    <xf numFmtId="49" fontId="1" fillId="0" borderId="50" xfId="0" applyNumberFormat="1" applyFont="1" applyBorder="1"/>
    <xf numFmtId="0" fontId="0" fillId="0" borderId="50" xfId="0" applyBorder="1" applyAlignment="1">
      <alignment horizontal="center"/>
    </xf>
    <xf numFmtId="0" fontId="1" fillId="0" borderId="54" xfId="0" applyFont="1" applyBorder="1"/>
    <xf numFmtId="0" fontId="0" fillId="0" borderId="54" xfId="0" applyBorder="1"/>
    <xf numFmtId="0" fontId="0" fillId="0" borderId="54" xfId="0" applyBorder="1" applyAlignment="1">
      <alignment horizontal="left"/>
    </xf>
    <xf numFmtId="0" fontId="11" fillId="0" borderId="7" xfId="0" applyFont="1" applyBorder="1" applyAlignment="1">
      <alignment horizontal="left" vertical="center" wrapText="1"/>
    </xf>
    <xf numFmtId="0" fontId="14" fillId="11" borderId="7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8" fillId="0" borderId="50" xfId="0" applyFont="1" applyBorder="1"/>
    <xf numFmtId="0" fontId="0" fillId="0" borderId="26" xfId="0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9" fontId="0" fillId="0" borderId="29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9" fontId="0" fillId="0" borderId="30" xfId="0" applyNumberFormat="1" applyBorder="1" applyAlignment="1">
      <alignment horizontal="center"/>
    </xf>
    <xf numFmtId="9" fontId="0" fillId="0" borderId="29" xfId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9" fontId="0" fillId="0" borderId="30" xfId="1" applyFont="1" applyBorder="1" applyAlignment="1">
      <alignment horizontal="center"/>
    </xf>
    <xf numFmtId="0" fontId="8" fillId="0" borderId="22" xfId="0" applyFont="1" applyBorder="1"/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9" xfId="0" applyBorder="1" applyAlignment="1">
      <alignment horizontal="left" wrapText="1" indent="2"/>
    </xf>
    <xf numFmtId="0" fontId="1" fillId="0" borderId="9" xfId="0" applyFont="1" applyBorder="1" applyAlignment="1">
      <alignment wrapText="1"/>
    </xf>
    <xf numFmtId="2" fontId="0" fillId="5" borderId="19" xfId="0" applyNumberFormat="1" applyFill="1" applyBorder="1" applyAlignment="1">
      <alignment horizontal="center"/>
    </xf>
    <xf numFmtId="2" fontId="0" fillId="0" borderId="12" xfId="0" applyNumberFormat="1" applyBorder="1" applyAlignment="1">
      <alignment horizontal="center" vertical="center"/>
    </xf>
    <xf numFmtId="2" fontId="0" fillId="5" borderId="9" xfId="0" applyNumberFormat="1" applyFill="1" applyBorder="1" applyAlignment="1">
      <alignment horizontal="center" vertical="center"/>
    </xf>
    <xf numFmtId="2" fontId="0" fillId="5" borderId="11" xfId="0" applyNumberFormat="1" applyFill="1" applyBorder="1" applyAlignment="1">
      <alignment horizontal="center" vertical="center"/>
    </xf>
    <xf numFmtId="0" fontId="1" fillId="0" borderId="50" xfId="0" applyFont="1" applyBorder="1" applyAlignment="1">
      <alignment horizontal="left" wrapText="1"/>
    </xf>
    <xf numFmtId="9" fontId="1" fillId="0" borderId="50" xfId="0" applyNumberFormat="1" applyFont="1" applyBorder="1" applyAlignment="1">
      <alignment horizontal="center" vertical="center"/>
    </xf>
    <xf numFmtId="2" fontId="1" fillId="0" borderId="50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0" fillId="0" borderId="11" xfId="0" applyBorder="1" applyAlignment="1">
      <alignment horizontal="left" wrapText="1" indent="2"/>
    </xf>
    <xf numFmtId="0" fontId="1" fillId="0" borderId="14" xfId="0" applyFont="1" applyBorder="1" applyAlignment="1">
      <alignment horizontal="center"/>
    </xf>
    <xf numFmtId="0" fontId="8" fillId="5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5" borderId="23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wrapText="1"/>
    </xf>
    <xf numFmtId="0" fontId="0" fillId="0" borderId="23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 wrapText="1"/>
    </xf>
    <xf numFmtId="0" fontId="0" fillId="0" borderId="3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3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7" fillId="0" borderId="41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42" xfId="0" applyFont="1" applyBorder="1" applyAlignment="1">
      <alignment horizontal="left" wrapText="1"/>
    </xf>
    <xf numFmtId="0" fontId="0" fillId="0" borderId="39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4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9" xfId="0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3" xfId="0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9" fontId="1" fillId="13" borderId="50" xfId="0" applyNumberFormat="1" applyFont="1" applyFill="1" applyBorder="1" applyAlignment="1">
      <alignment horizontal="left" vertical="center" wrapText="1"/>
    </xf>
    <xf numFmtId="49" fontId="1" fillId="11" borderId="53" xfId="0" applyNumberFormat="1" applyFont="1" applyFill="1" applyBorder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center"/>
    </xf>
    <xf numFmtId="0" fontId="0" fillId="3" borderId="12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C$1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Drop" dropStyle="combo" dx="26" fmlaLink="D37" fmlaRange="'Auxiliar 2'!$D$8:$D$10" noThreeD="1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Politica Financiera'!A1"/><Relationship Id="rId2" Type="http://schemas.openxmlformats.org/officeDocument/2006/relationships/hyperlink" Target="#'Datos Entrada'!A1"/><Relationship Id="rId1" Type="http://schemas.openxmlformats.org/officeDocument/2006/relationships/image" Target="../media/image1.png"/><Relationship Id="rId6" Type="http://schemas.openxmlformats.org/officeDocument/2006/relationships/image" Target="../media/image2.png"/><Relationship Id="rId5" Type="http://schemas.openxmlformats.org/officeDocument/2006/relationships/hyperlink" Target="#'Nivel de Riesgo'!A1"/><Relationship Id="rId4" Type="http://schemas.openxmlformats.org/officeDocument/2006/relationships/hyperlink" Target="#'ODS Analisi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LEAME!E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LEAME!E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LEAME!E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LEAME!E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LEAME!E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LEAME!E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708660</xdr:colOff>
      <xdr:row>0</xdr:row>
      <xdr:rowOff>83820</xdr:rowOff>
    </xdr:from>
    <xdr:to>
      <xdr:col>3</xdr:col>
      <xdr:colOff>236220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" y="83820"/>
          <a:ext cx="1905000" cy="7810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777240</xdr:colOff>
          <xdr:row>6</xdr:row>
          <xdr:rowOff>175260</xdr:rowOff>
        </xdr:from>
        <xdr:to>
          <xdr:col>4</xdr:col>
          <xdr:colOff>358140</xdr:colOff>
          <xdr:row>11</xdr:row>
          <xdr:rowOff>76200</xdr:rowOff>
        </xdr:to>
        <xdr:grpSp>
          <xdr:nvGrpSpPr>
            <xdr:cNvPr id="4" name="Grupo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758190" y="1318260"/>
              <a:ext cx="2762250" cy="853440"/>
              <a:chOff x="777241" y="1272540"/>
              <a:chExt cx="2750820" cy="815340"/>
            </a:xfrm>
          </xdr:grpSpPr>
          <xdr:sp macro="" textlink="">
            <xdr:nvSpPr>
              <xdr:cNvPr id="15367" name="Option Button 7" hidden="1">
                <a:extLst>
                  <a:ext uri="{63B3BB69-23CF-44E3-9099-C40C66FF867C}">
                    <a14:compatExt spid="_x0000_s15367"/>
                  </a:ext>
                  <a:ext uri="{FF2B5EF4-FFF2-40B4-BE49-F238E27FC236}">
                    <a16:creationId xmlns:a16="http://schemas.microsoft.com/office/drawing/2014/main" id="{00000000-0008-0000-0000-0000073C0000}"/>
                  </a:ext>
                </a:extLst>
              </xdr:cNvPr>
              <xdr:cNvSpPr/>
            </xdr:nvSpPr>
            <xdr:spPr bwMode="auto">
              <a:xfrm>
                <a:off x="777241" y="1272540"/>
                <a:ext cx="1280161" cy="388620"/>
              </a:xfrm>
              <a:prstGeom prst="rect">
                <a:avLst/>
              </a:prstGeom>
              <a:gradFill rotWithShape="1">
                <a:gsLst>
                  <a:gs pos="0">
                    <a:srgbClr val="FFFFFF" mc:Ignorable="a14" a14:legacySpreadsheetColorIndex="65"/>
                  </a:gs>
                  <a:gs pos="50000">
                    <a:srgbClr val="00CCFF" mc:Ignorable="a14" a14:legacySpreadsheetColorIndex="40"/>
                  </a:gs>
                  <a:gs pos="100000">
                    <a:srgbClr val="FFFFFF" mc:Ignorable="a14" a14:legacySpreadsheetColorIndex="65"/>
                  </a:gs>
                </a:gsLst>
                <a:lin ang="5400000" scaled="1"/>
              </a:gra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ACCESO A LA ENERGIA</a:t>
                </a:r>
              </a:p>
            </xdr:txBody>
          </xdr:sp>
          <xdr:sp macro="" textlink="">
            <xdr:nvSpPr>
              <xdr:cNvPr id="15368" name="Option Button 8" hidden="1">
                <a:extLst>
                  <a:ext uri="{63B3BB69-23CF-44E3-9099-C40C66FF867C}">
                    <a14:compatExt spid="_x0000_s15368"/>
                  </a:ext>
                  <a:ext uri="{FF2B5EF4-FFF2-40B4-BE49-F238E27FC236}">
                    <a16:creationId xmlns:a16="http://schemas.microsoft.com/office/drawing/2014/main" id="{00000000-0008-0000-0000-0000083C0000}"/>
                  </a:ext>
                </a:extLst>
              </xdr:cNvPr>
              <xdr:cNvSpPr/>
            </xdr:nvSpPr>
            <xdr:spPr bwMode="auto">
              <a:xfrm>
                <a:off x="2217420" y="1280160"/>
                <a:ext cx="1310641" cy="388620"/>
              </a:xfrm>
              <a:prstGeom prst="rect">
                <a:avLst/>
              </a:prstGeom>
              <a:gradFill rotWithShape="1">
                <a:gsLst>
                  <a:gs pos="0">
                    <a:srgbClr val="FFFFFF" mc:Ignorable="a14" a14:legacySpreadsheetColorIndex="65"/>
                  </a:gs>
                  <a:gs pos="50000">
                    <a:srgbClr val="008000" mc:Ignorable="a14" a14:legacySpreadsheetColorIndex="17"/>
                  </a:gs>
                  <a:gs pos="100000">
                    <a:srgbClr val="FFFFFF" mc:Ignorable="a14" a14:legacySpreadsheetColorIndex="65"/>
                  </a:gs>
                </a:gsLst>
                <a:lin ang="5400000" scaled="1"/>
              </a:gra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BOSQUES Y USO DE SUELOS</a:t>
                </a:r>
              </a:p>
            </xdr:txBody>
          </xdr:sp>
          <xdr:sp macro="" textlink="">
            <xdr:nvSpPr>
              <xdr:cNvPr id="15369" name="Option Button 9" hidden="1">
                <a:extLst>
                  <a:ext uri="{63B3BB69-23CF-44E3-9099-C40C66FF867C}">
                    <a14:compatExt spid="_x0000_s15369"/>
                  </a:ext>
                  <a:ext uri="{FF2B5EF4-FFF2-40B4-BE49-F238E27FC236}">
                    <a16:creationId xmlns:a16="http://schemas.microsoft.com/office/drawing/2014/main" id="{00000000-0008-0000-0000-0000093C0000}"/>
                  </a:ext>
                </a:extLst>
              </xdr:cNvPr>
              <xdr:cNvSpPr/>
            </xdr:nvSpPr>
            <xdr:spPr bwMode="auto">
              <a:xfrm>
                <a:off x="1394460" y="1699260"/>
                <a:ext cx="1310640" cy="388620"/>
              </a:xfrm>
              <a:prstGeom prst="rect">
                <a:avLst/>
              </a:prstGeom>
              <a:gradFill rotWithShape="1">
                <a:gsLst>
                  <a:gs pos="0">
                    <a:srgbClr val="FFFFFF" mc:Ignorable="a14" a14:legacySpreadsheetColorIndex="65"/>
                  </a:gs>
                  <a:gs pos="50000">
                    <a:srgbClr val="808080" mc:Ignorable="a14" a14:legacySpreadsheetColorIndex="23"/>
                  </a:gs>
                  <a:gs pos="100000">
                    <a:srgbClr val="FFFFFF" mc:Ignorable="a14" a14:legacySpreadsheetColorIndex="65"/>
                  </a:gs>
                </a:gsLst>
                <a:lin ang="5400000" scaled="1"/>
              </a:gra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AGRICULTURA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6</xdr:col>
      <xdr:colOff>213360</xdr:colOff>
      <xdr:row>5</xdr:row>
      <xdr:rowOff>24765</xdr:rowOff>
    </xdr:from>
    <xdr:to>
      <xdr:col>9</xdr:col>
      <xdr:colOff>281940</xdr:colOff>
      <xdr:row>10</xdr:row>
      <xdr:rowOff>13335</xdr:rowOff>
    </xdr:to>
    <xdr:sp macro="" textlink="">
      <xdr:nvSpPr>
        <xdr:cNvPr id="5" name="Rectángulo: esquinas redondeada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175760" y="939165"/>
          <a:ext cx="2446020" cy="902970"/>
        </a:xfrm>
        <a:prstGeom prst="roundRect">
          <a:avLst/>
        </a:prstGeom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BO" sz="1600" b="0"/>
            <a:t>Coincidencia con criterios de inversión</a:t>
          </a:r>
        </a:p>
      </xdr:txBody>
    </xdr:sp>
    <xdr:clientData/>
  </xdr:twoCellAnchor>
  <xdr:twoCellAnchor>
    <xdr:from>
      <xdr:col>6</xdr:col>
      <xdr:colOff>213360</xdr:colOff>
      <xdr:row>10</xdr:row>
      <xdr:rowOff>99060</xdr:rowOff>
    </xdr:from>
    <xdr:to>
      <xdr:col>9</xdr:col>
      <xdr:colOff>190500</xdr:colOff>
      <xdr:row>15</xdr:row>
      <xdr:rowOff>87630</xdr:rowOff>
    </xdr:to>
    <xdr:sp macro="" textlink="">
      <xdr:nvSpPr>
        <xdr:cNvPr id="6" name="Rectángulo: esquinas redondeada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175760" y="1927860"/>
          <a:ext cx="2354580" cy="902970"/>
        </a:xfrm>
        <a:prstGeom prst="roundRect">
          <a:avLst/>
        </a:prstGeom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BO" sz="1600" b="0">
              <a:solidFill>
                <a:schemeClr val="dk1"/>
              </a:solidFill>
              <a:latin typeface="+mn-lt"/>
              <a:ea typeface="+mn-ea"/>
              <a:cs typeface="+mn-cs"/>
            </a:rPr>
            <a:t>Coincidencia con política financiera</a:t>
          </a:r>
        </a:p>
      </xdr:txBody>
    </xdr:sp>
    <xdr:clientData/>
  </xdr:twoCellAnchor>
  <xdr:twoCellAnchor>
    <xdr:from>
      <xdr:col>9</xdr:col>
      <xdr:colOff>497205</xdr:colOff>
      <xdr:row>5</xdr:row>
      <xdr:rowOff>30480</xdr:rowOff>
    </xdr:from>
    <xdr:to>
      <xdr:col>12</xdr:col>
      <xdr:colOff>474345</xdr:colOff>
      <xdr:row>10</xdr:row>
      <xdr:rowOff>9525</xdr:rowOff>
    </xdr:to>
    <xdr:sp macro="" textlink="">
      <xdr:nvSpPr>
        <xdr:cNvPr id="7" name="Rectángulo: esquinas redondeada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37045" y="944880"/>
          <a:ext cx="2354580" cy="893445"/>
        </a:xfrm>
        <a:prstGeom prst="roundRect">
          <a:avLst/>
        </a:prstGeom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BO" sz="1600" b="0"/>
            <a:t>Vinculación con Objetivos Desarrollo</a:t>
          </a:r>
          <a:r>
            <a:rPr lang="es-BO" sz="1600" b="0" baseline="0"/>
            <a:t> Sostenible</a:t>
          </a:r>
          <a:r>
            <a:rPr lang="es-BO" sz="1600" b="0"/>
            <a:t> </a:t>
          </a:r>
        </a:p>
      </xdr:txBody>
    </xdr:sp>
    <xdr:clientData/>
  </xdr:twoCellAnchor>
  <xdr:twoCellAnchor>
    <xdr:from>
      <xdr:col>9</xdr:col>
      <xdr:colOff>474345</xdr:colOff>
      <xdr:row>10</xdr:row>
      <xdr:rowOff>99060</xdr:rowOff>
    </xdr:from>
    <xdr:to>
      <xdr:col>12</xdr:col>
      <xdr:colOff>451485</xdr:colOff>
      <xdr:row>15</xdr:row>
      <xdr:rowOff>78105</xdr:rowOff>
    </xdr:to>
    <xdr:sp macro="" textlink="">
      <xdr:nvSpPr>
        <xdr:cNvPr id="8" name="Rectángulo: esquinas redondeada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814185" y="1927860"/>
          <a:ext cx="2354580" cy="893445"/>
        </a:xfrm>
        <a:prstGeom prst="roundRect">
          <a:avLst/>
        </a:prstGeom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BO" sz="1600" b="0"/>
            <a:t>Nivel de riesgo para el Financiador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35</xdr:row>
          <xdr:rowOff>171450</xdr:rowOff>
        </xdr:from>
        <xdr:to>
          <xdr:col>3</xdr:col>
          <xdr:colOff>885825</xdr:colOff>
          <xdr:row>37</xdr:row>
          <xdr:rowOff>19050</xdr:rowOff>
        </xdr:to>
        <xdr:sp macro="" textlink="">
          <xdr:nvSpPr>
            <xdr:cNvPr id="15370" name="Drop Down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0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619125</xdr:colOff>
      <xdr:row>1</xdr:row>
      <xdr:rowOff>19050</xdr:rowOff>
    </xdr:from>
    <xdr:to>
      <xdr:col>7</xdr:col>
      <xdr:colOff>36195</xdr:colOff>
      <xdr:row>4</xdr:row>
      <xdr:rowOff>39802</xdr:rowOff>
    </xdr:to>
    <xdr:pic>
      <xdr:nvPicPr>
        <xdr:cNvPr id="9" name="Imagen 8" descr="Texto&#10;&#10;Descripción generada automáticamente">
          <a:extLst>
            <a:ext uri="{FF2B5EF4-FFF2-40B4-BE49-F238E27FC236}">
              <a16:creationId xmlns:a16="http://schemas.microsoft.com/office/drawing/2014/main" id="{AFED90A3-1FCA-130C-6B69-8E8AE76D01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2" t="27678" r="7001" b="22704"/>
        <a:stretch/>
      </xdr:blipFill>
      <xdr:spPr bwMode="auto">
        <a:xfrm>
          <a:off x="2905125" y="209550"/>
          <a:ext cx="2579370" cy="59225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222885</xdr:colOff>
      <xdr:row>0</xdr:row>
      <xdr:rowOff>184785</xdr:rowOff>
    </xdr:from>
    <xdr:to>
      <xdr:col>0</xdr:col>
      <xdr:colOff>413385</xdr:colOff>
      <xdr:row>3</xdr:row>
      <xdr:rowOff>127635</xdr:rowOff>
    </xdr:to>
    <xdr:sp macro="" textlink="">
      <xdr:nvSpPr>
        <xdr:cNvPr id="2" name="Diagrama de flujo: conector fuera de págin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22885" y="184785"/>
          <a:ext cx="190500" cy="1062990"/>
        </a:xfrm>
        <a:prstGeom prst="flowChartOffpageConnector">
          <a:avLst/>
        </a:prstGeom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es-BO" sz="1100" b="1"/>
            <a:t>VOLVER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133350</xdr:rowOff>
    </xdr:from>
    <xdr:to>
      <xdr:col>1</xdr:col>
      <xdr:colOff>66675</xdr:colOff>
      <xdr:row>3</xdr:row>
      <xdr:rowOff>438150</xdr:rowOff>
    </xdr:to>
    <xdr:sp macro="" textlink="">
      <xdr:nvSpPr>
        <xdr:cNvPr id="2" name="Diagrama de flujo: conector fuera de págin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09575" y="133350"/>
          <a:ext cx="441960" cy="899160"/>
        </a:xfrm>
        <a:prstGeom prst="flowChartOffpageConnector">
          <a:avLst/>
        </a:prstGeom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es-BO" sz="1100" b="1"/>
            <a:t>VOLVER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161925</xdr:rowOff>
    </xdr:from>
    <xdr:to>
      <xdr:col>1</xdr:col>
      <xdr:colOff>352425</xdr:colOff>
      <xdr:row>3</xdr:row>
      <xdr:rowOff>104775</xdr:rowOff>
    </xdr:to>
    <xdr:sp macro="" textlink="">
      <xdr:nvSpPr>
        <xdr:cNvPr id="2" name="Diagrama de flujo: conector fuera de págin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61925" y="161925"/>
          <a:ext cx="419100" cy="923925"/>
        </a:xfrm>
        <a:prstGeom prst="flowChartOffpageConnector">
          <a:avLst/>
        </a:prstGeom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es-BO" sz="1100" b="1"/>
            <a:t>VOLVER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133350</xdr:rowOff>
    </xdr:from>
    <xdr:to>
      <xdr:col>1</xdr:col>
      <xdr:colOff>66675</xdr:colOff>
      <xdr:row>3</xdr:row>
      <xdr:rowOff>438150</xdr:rowOff>
    </xdr:to>
    <xdr:sp macro="" textlink="">
      <xdr:nvSpPr>
        <xdr:cNvPr id="2" name="Diagrama de flujo: conector fuera de págin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09575" y="133350"/>
          <a:ext cx="419100" cy="923925"/>
        </a:xfrm>
        <a:prstGeom prst="flowChartOffpageConnector">
          <a:avLst/>
        </a:prstGeom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es-BO" sz="1100" b="1"/>
            <a:t>VOLVER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123825</xdr:rowOff>
    </xdr:from>
    <xdr:to>
      <xdr:col>0</xdr:col>
      <xdr:colOff>657225</xdr:colOff>
      <xdr:row>5</xdr:row>
      <xdr:rowOff>85725</xdr:rowOff>
    </xdr:to>
    <xdr:sp macro="" textlink="">
      <xdr:nvSpPr>
        <xdr:cNvPr id="2" name="Diagrama de flujo: conector fuera de págin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38125" y="123825"/>
          <a:ext cx="419100" cy="923925"/>
        </a:xfrm>
        <a:prstGeom prst="flowChartOffpageConnector">
          <a:avLst/>
        </a:prstGeom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es-BO" sz="1100" b="1"/>
            <a:t>VOLVER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173182</xdr:colOff>
      <xdr:row>0</xdr:row>
      <xdr:rowOff>147204</xdr:rowOff>
    </xdr:from>
    <xdr:to>
      <xdr:col>0</xdr:col>
      <xdr:colOff>592282</xdr:colOff>
      <xdr:row>5</xdr:row>
      <xdr:rowOff>118629</xdr:rowOff>
    </xdr:to>
    <xdr:sp macro="" textlink="">
      <xdr:nvSpPr>
        <xdr:cNvPr id="2" name="Diagrama de flujo: conector fuera de págin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73182" y="147204"/>
          <a:ext cx="419100" cy="923925"/>
        </a:xfrm>
        <a:prstGeom prst="flowChartOffpageConnector">
          <a:avLst/>
        </a:prstGeom>
        <a:scene3d>
          <a:camera prst="orthographicFront"/>
          <a:lightRig rig="threePt" dir="t"/>
        </a:scene3d>
        <a:sp3d>
          <a:bevelT w="139700" h="139700" prst="divot"/>
        </a:sp3d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es-BO" sz="1100" b="1"/>
            <a:t>VOLVER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640080</xdr:colOff>
      <xdr:row>0</xdr:row>
      <xdr:rowOff>144780</xdr:rowOff>
    </xdr:from>
    <xdr:to>
      <xdr:col>14</xdr:col>
      <xdr:colOff>60960</xdr:colOff>
      <xdr:row>39</xdr:row>
      <xdr:rowOff>15240</xdr:rowOff>
    </xdr:to>
    <xdr:pic>
      <xdr:nvPicPr>
        <xdr:cNvPr id="2" name="Imagen 1" descr="Nota GN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144780"/>
          <a:ext cx="10515600" cy="7002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IZ\Fondo_Verde_Emisiones%20CO2\PLanificaciones_proyectos\PINs%20ENDE\Cartera%20de%20proyectos%202015%20-%202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 Proyectos 2030 (3)"/>
      <sheetName val="Subvencion Requerida"/>
      <sheetName val="DESAGREGACIÓN ANUAL(MMUS$)"/>
      <sheetName val="Hoja2"/>
      <sheetName val="Hoja3"/>
      <sheetName val="Hoja1"/>
      <sheetName val="IRENA 2014 Hydro"/>
      <sheetName val="Base Datos "/>
      <sheetName val="Cartera Proyectos 2030 (2)"/>
      <sheetName val="Cartera Proyectos 2030"/>
      <sheetName val="Hoj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Hidroeléctrica Misicuni</v>
          </cell>
        </row>
      </sheetData>
      <sheetData sheetId="8"/>
      <sheetData sheetId="9"/>
      <sheetData sheetId="10">
        <row r="49">
          <cell r="D49">
            <v>0.77800000000000002</v>
          </cell>
        </row>
        <row r="50">
          <cell r="D50">
            <v>0.76200000000000001</v>
          </cell>
        </row>
        <row r="51">
          <cell r="D51">
            <v>0.71200000000000008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B8149-571A-4E0C-B832-DBD5D9FE062A}">
  <dimension ref="B7:N50"/>
  <sheetViews>
    <sheetView showGridLines="0" tabSelected="1" workbookViewId="0">
      <selection activeCell="P13" sqref="P13"/>
    </sheetView>
  </sheetViews>
  <sheetFormatPr baseColWidth="10" defaultRowHeight="15" x14ac:dyDescent="0.25"/>
  <cols>
    <col min="4" max="4" width="13.140625" customWidth="1"/>
    <col min="11" max="11" width="13.7109375" customWidth="1"/>
  </cols>
  <sheetData>
    <row r="7" spans="2:6" x14ac:dyDescent="0.25">
      <c r="B7" s="238" t="s">
        <v>104</v>
      </c>
      <c r="C7" s="238"/>
      <c r="D7" s="238"/>
      <c r="E7" s="238"/>
      <c r="F7" s="20"/>
    </row>
    <row r="11" spans="2:6" x14ac:dyDescent="0.25">
      <c r="C11">
        <v>2</v>
      </c>
    </row>
    <row r="13" spans="2:6" ht="14.45" customHeight="1" x14ac:dyDescent="0.25"/>
    <row r="14" spans="2:6" ht="14.45" customHeight="1" x14ac:dyDescent="0.25">
      <c r="B14" s="2"/>
      <c r="C14" s="2"/>
      <c r="D14" s="2"/>
      <c r="E14" s="2"/>
    </row>
    <row r="15" spans="2:6" x14ac:dyDescent="0.25">
      <c r="B15" s="2"/>
      <c r="C15" s="2"/>
      <c r="D15" s="2"/>
      <c r="E15" s="2"/>
    </row>
    <row r="17" spans="2:14" ht="14.45" customHeight="1" x14ac:dyDescent="0.25"/>
    <row r="18" spans="2:14" ht="14.45" customHeight="1" x14ac:dyDescent="0.25">
      <c r="B18" s="248" t="s">
        <v>105</v>
      </c>
      <c r="C18" s="248"/>
      <c r="D18" s="248"/>
      <c r="E18" s="248"/>
    </row>
    <row r="19" spans="2:14" ht="15" customHeight="1" thickBot="1" x14ac:dyDescent="0.3">
      <c r="B19" s="239" t="s">
        <v>200</v>
      </c>
      <c r="C19" s="240"/>
      <c r="D19" s="240"/>
      <c r="E19" s="241"/>
      <c r="H19" s="22" t="s">
        <v>195</v>
      </c>
      <c r="I19" s="22"/>
      <c r="J19" s="22"/>
      <c r="K19" s="143" t="s">
        <v>101</v>
      </c>
      <c r="L19" s="22"/>
    </row>
    <row r="20" spans="2:14" ht="15.75" thickTop="1" x14ac:dyDescent="0.25">
      <c r="B20" s="242"/>
      <c r="C20" s="243"/>
      <c r="D20" s="243"/>
      <c r="E20" s="244"/>
      <c r="H20" s="10" t="s">
        <v>102</v>
      </c>
      <c r="K20" s="12">
        <v>0.3</v>
      </c>
      <c r="L20" s="87">
        <f>+'Criterios inversion'!G41</f>
        <v>2.7349999999999999</v>
      </c>
    </row>
    <row r="21" spans="2:14" x14ac:dyDescent="0.25">
      <c r="B21" s="245"/>
      <c r="C21" s="246"/>
      <c r="D21" s="246"/>
      <c r="E21" s="247"/>
      <c r="H21" s="10" t="s">
        <v>103</v>
      </c>
      <c r="K21" s="12">
        <v>0.25</v>
      </c>
      <c r="L21" s="87">
        <f>+'Politica Financiera'!D23</f>
        <v>1</v>
      </c>
    </row>
    <row r="22" spans="2:14" x14ac:dyDescent="0.25">
      <c r="B22" s="93"/>
      <c r="C22" s="93"/>
      <c r="D22" s="93"/>
      <c r="E22" s="93"/>
      <c r="H22" s="10" t="s">
        <v>196</v>
      </c>
      <c r="K22" s="12">
        <v>0.3</v>
      </c>
      <c r="L22" s="87">
        <f>+ODS!E24</f>
        <v>4</v>
      </c>
    </row>
    <row r="23" spans="2:14" x14ac:dyDescent="0.25">
      <c r="B23" s="248" t="s">
        <v>111</v>
      </c>
      <c r="C23" s="248"/>
      <c r="D23" s="248"/>
      <c r="E23" s="248"/>
      <c r="H23" s="10" t="s">
        <v>100</v>
      </c>
      <c r="K23" s="12">
        <v>0.15</v>
      </c>
      <c r="L23" s="87">
        <f>+'Nivel de Riesgo'!D24</f>
        <v>5</v>
      </c>
    </row>
    <row r="24" spans="2:14" ht="15" customHeight="1" thickBot="1" x14ac:dyDescent="0.3">
      <c r="B24" s="237" t="s">
        <v>201</v>
      </c>
      <c r="C24" s="237"/>
      <c r="D24" s="237"/>
      <c r="E24" s="237"/>
      <c r="H24" s="143" t="s">
        <v>194</v>
      </c>
      <c r="I24" s="144"/>
      <c r="J24" s="144"/>
      <c r="K24" s="26"/>
      <c r="L24" s="88">
        <f>SUMPRODUCT($K$20:$K$23,L20:L23)</f>
        <v>3.0205000000000002</v>
      </c>
    </row>
    <row r="25" spans="2:14" ht="15.75" thickTop="1" x14ac:dyDescent="0.25">
      <c r="B25" s="237"/>
      <c r="C25" s="237"/>
      <c r="D25" s="237"/>
      <c r="E25" s="237"/>
    </row>
    <row r="26" spans="2:14" ht="15.75" thickBot="1" x14ac:dyDescent="0.3">
      <c r="B26" s="237"/>
      <c r="C26" s="237"/>
      <c r="D26" s="237"/>
      <c r="E26" s="237"/>
      <c r="H26" s="236" t="s">
        <v>276</v>
      </c>
      <c r="I26" s="236"/>
      <c r="J26" s="236"/>
      <c r="K26" s="236"/>
      <c r="L26" s="236"/>
      <c r="M26" s="236"/>
      <c r="N26" s="236"/>
    </row>
    <row r="27" spans="2:14" ht="15" customHeight="1" thickTop="1" x14ac:dyDescent="0.25">
      <c r="B27" s="237"/>
      <c r="C27" s="237"/>
      <c r="D27" s="237"/>
      <c r="E27" s="237"/>
      <c r="H27" s="200" t="s">
        <v>306</v>
      </c>
      <c r="I27" s="201"/>
      <c r="J27" s="202" t="str">
        <f>'Evaluacion Preliminar'!B5</f>
        <v>Mitigación/Adaptación</v>
      </c>
      <c r="K27" s="201"/>
      <c r="L27">
        <f>'Evaluacion Preliminar'!C16</f>
        <v>5000</v>
      </c>
      <c r="M27" s="201" t="str">
        <f>'Evaluacion Preliminar'!B16</f>
        <v>tCO2/año</v>
      </c>
      <c r="N27" s="201" t="str">
        <f>IF(L27&lt;=20000,"Micro Escala", IF(L27&lt;=60000,"Pequeña Escala","Gran Escala"))</f>
        <v>Micro Escala</v>
      </c>
    </row>
    <row r="28" spans="2:14" x14ac:dyDescent="0.25">
      <c r="B28" s="237"/>
      <c r="C28" s="237"/>
      <c r="D28" s="237"/>
      <c r="E28" s="237"/>
      <c r="H28" s="190" t="s">
        <v>290</v>
      </c>
      <c r="I28" s="191"/>
      <c r="J28" s="191"/>
      <c r="K28" s="191"/>
      <c r="L28" s="195"/>
      <c r="M28" s="191"/>
      <c r="N28" s="191"/>
    </row>
    <row r="29" spans="2:14" x14ac:dyDescent="0.25">
      <c r="B29" s="237"/>
      <c r="C29" s="237"/>
      <c r="D29" s="237"/>
      <c r="E29" s="237"/>
      <c r="H29" s="196" t="s">
        <v>235</v>
      </c>
      <c r="I29" s="187"/>
      <c r="J29" s="187"/>
      <c r="K29" s="187"/>
      <c r="L29" s="194" t="str">
        <f>+'Evaluacion Preliminar'!C7</f>
        <v>0 a 100 familias</v>
      </c>
      <c r="M29" s="187"/>
      <c r="N29" s="187"/>
    </row>
    <row r="30" spans="2:14" x14ac:dyDescent="0.25">
      <c r="H30" s="192" t="s">
        <v>236</v>
      </c>
      <c r="I30" s="185"/>
      <c r="J30" s="185"/>
      <c r="K30" s="185"/>
      <c r="L30" s="186" t="str">
        <f>+'Evaluacion Preliminar'!C8</f>
        <v>&gt; al 50.1% de la población del Municipio</v>
      </c>
      <c r="M30" s="185"/>
      <c r="N30" s="179"/>
    </row>
    <row r="31" spans="2:14" x14ac:dyDescent="0.25">
      <c r="B31" s="248" t="s">
        <v>234</v>
      </c>
      <c r="C31" s="248"/>
      <c r="D31" s="248"/>
      <c r="E31" s="248"/>
      <c r="H31" s="190" t="s">
        <v>268</v>
      </c>
      <c r="I31" s="191"/>
      <c r="J31" s="191"/>
      <c r="K31" s="191"/>
      <c r="L31" s="195"/>
      <c r="M31" s="191"/>
    </row>
    <row r="32" spans="2:14" x14ac:dyDescent="0.25">
      <c r="B32" s="249" t="s">
        <v>254</v>
      </c>
      <c r="C32" s="250"/>
      <c r="D32" s="259" t="s">
        <v>313</v>
      </c>
      <c r="E32" s="260"/>
      <c r="H32" s="196" t="str">
        <f>+'Evaluacion Preliminar'!A10</f>
        <v>Inversión requerida</v>
      </c>
      <c r="I32" s="187"/>
      <c r="J32" s="187"/>
      <c r="K32" s="187"/>
      <c r="L32" s="197">
        <f>+'Evaluacion Preliminar'!C10</f>
        <v>1500000</v>
      </c>
      <c r="M32" s="187" t="str">
        <f>+'Evaluacion Preliminar'!B10</f>
        <v>Euros</v>
      </c>
      <c r="N32" s="179"/>
    </row>
    <row r="33" spans="2:14" x14ac:dyDescent="0.25">
      <c r="B33" s="251" t="s">
        <v>235</v>
      </c>
      <c r="C33" s="252"/>
      <c r="D33" s="255" t="s">
        <v>237</v>
      </c>
      <c r="E33" s="256"/>
      <c r="H33" s="192" t="str">
        <f>+'Evaluacion Preliminar'!A11</f>
        <v>Costo por tCO2 reducida</v>
      </c>
      <c r="I33" s="185"/>
      <c r="J33" s="185"/>
      <c r="K33" s="185"/>
      <c r="L33" s="193">
        <f>+'Evaluacion Preliminar'!C11</f>
        <v>30</v>
      </c>
      <c r="M33" s="185" t="str">
        <f>+'Evaluacion Preliminar'!B11</f>
        <v>Euros/tCO2</v>
      </c>
      <c r="N33" s="185"/>
    </row>
    <row r="34" spans="2:14" x14ac:dyDescent="0.25">
      <c r="B34" s="253" t="s">
        <v>236</v>
      </c>
      <c r="C34" s="254"/>
      <c r="D34" s="257" t="s">
        <v>245</v>
      </c>
      <c r="E34" s="258"/>
      <c r="H34" s="198" t="s">
        <v>291</v>
      </c>
      <c r="I34" s="191"/>
      <c r="J34" s="191"/>
      <c r="K34" s="191"/>
      <c r="L34" s="199"/>
      <c r="M34" s="191"/>
      <c r="N34" s="191"/>
    </row>
    <row r="35" spans="2:14" x14ac:dyDescent="0.25">
      <c r="H35" s="196" t="str">
        <f>+'Evaluacion Preliminar'!A13</f>
        <v>Implementación</v>
      </c>
      <c r="I35" s="187"/>
      <c r="J35" s="187"/>
      <c r="K35" s="187"/>
      <c r="L35" s="197">
        <f>+'Evaluacion Preliminar'!C13</f>
        <v>1</v>
      </c>
      <c r="M35" s="187" t="str">
        <f>+'Evaluacion Preliminar'!B13</f>
        <v>años</v>
      </c>
      <c r="N35" s="187"/>
    </row>
    <row r="36" spans="2:14" x14ac:dyDescent="0.25">
      <c r="B36" s="238" t="s">
        <v>314</v>
      </c>
      <c r="C36" s="238"/>
      <c r="D36" s="238"/>
      <c r="E36" s="238"/>
      <c r="H36" s="192" t="str">
        <f>+'Evaluacion Preliminar'!A14</f>
        <v>Vida útil</v>
      </c>
      <c r="I36" s="185"/>
      <c r="J36" s="185"/>
      <c r="K36" s="185"/>
      <c r="L36" s="193">
        <f>+'Evaluacion Preliminar'!C14</f>
        <v>10</v>
      </c>
      <c r="M36" s="185" t="str">
        <f>+'Evaluacion Preliminar'!B14</f>
        <v>años</v>
      </c>
      <c r="N36" s="185"/>
    </row>
    <row r="37" spans="2:14" x14ac:dyDescent="0.25">
      <c r="B37" s="162" t="s">
        <v>307</v>
      </c>
      <c r="C37" s="163"/>
      <c r="D37" s="167">
        <v>1</v>
      </c>
      <c r="E37" s="171">
        <v>1500000</v>
      </c>
      <c r="H37" s="190" t="s">
        <v>292</v>
      </c>
      <c r="I37" s="191"/>
      <c r="J37" s="191"/>
      <c r="K37" s="195"/>
      <c r="L37" s="191"/>
      <c r="M37" s="191"/>
      <c r="N37" s="191"/>
    </row>
    <row r="38" spans="2:14" ht="18" x14ac:dyDescent="0.35">
      <c r="B38" s="168" t="s">
        <v>259</v>
      </c>
      <c r="D38" s="169" t="s">
        <v>260</v>
      </c>
      <c r="E38" s="171">
        <v>5000</v>
      </c>
      <c r="H38" s="187" t="s">
        <v>308</v>
      </c>
      <c r="I38" s="187"/>
      <c r="J38" s="194"/>
      <c r="K38" s="187"/>
      <c r="L38" s="187" t="str">
        <f>+'Auxiliar 2'!I19</f>
        <v>Muy bajo o minimo</v>
      </c>
      <c r="M38" s="187"/>
      <c r="N38" s="187"/>
    </row>
    <row r="39" spans="2:14" x14ac:dyDescent="0.25">
      <c r="B39" s="164" t="s">
        <v>261</v>
      </c>
      <c r="C39" s="165"/>
      <c r="D39" s="170" t="str">
        <f>IF(D37=1,'Auxiliar 2'!D8,IF(LEAME!D37=2,'Auxiliar 2'!D9,'Auxiliar 2'!D10))&amp;"/tCO2"</f>
        <v>Euros/tCO2</v>
      </c>
      <c r="E39" s="1">
        <f>IF(E44&lt;=0,0,E37/(E38*E44))</f>
        <v>30</v>
      </c>
      <c r="H39" s="179" t="str">
        <f>+'Datos Entrada'!D7</f>
        <v>Potencial de cambio de paradigma</v>
      </c>
      <c r="I39" s="179"/>
      <c r="J39" s="179"/>
      <c r="K39" s="179"/>
      <c r="L39" s="179" t="str">
        <f>+'Auxiliar 2'!I20</f>
        <v>Alta o Relevante</v>
      </c>
      <c r="M39" s="69"/>
      <c r="N39" s="69"/>
    </row>
    <row r="40" spans="2:14" x14ac:dyDescent="0.25">
      <c r="H40" s="179" t="str">
        <f>+'Datos Entrada'!D11&amp;" "&amp;'Datos Entrada'!D15</f>
        <v>Potencial de desarrollo sostenible Estrategia de salida</v>
      </c>
      <c r="I40" s="69"/>
      <c r="J40" s="69"/>
      <c r="K40" s="69"/>
      <c r="L40" s="179" t="str">
        <f>+'Auxiliar 2'!I21</f>
        <v>Media o Parcialmente</v>
      </c>
      <c r="M40" s="69"/>
      <c r="N40" s="69"/>
    </row>
    <row r="41" spans="2:14" x14ac:dyDescent="0.25">
      <c r="H41" s="179" t="str">
        <f>+'Datos Entrada'!D17</f>
        <v>Necesidades del beneficiario</v>
      </c>
      <c r="I41" s="179"/>
      <c r="J41" s="147"/>
      <c r="K41" s="179"/>
      <c r="L41" s="179" t="str">
        <f>+'Auxiliar 2'!I22</f>
        <v>Alta o Relevante</v>
      </c>
      <c r="M41" s="179"/>
      <c r="N41" s="179"/>
    </row>
    <row r="42" spans="2:14" x14ac:dyDescent="0.25">
      <c r="B42" s="238" t="s">
        <v>250</v>
      </c>
      <c r="C42" s="238"/>
      <c r="D42" s="238"/>
      <c r="E42" s="238"/>
      <c r="H42" s="179" t="str">
        <f>+'Datos Entrada'!D20</f>
        <v>Implicacion Nacional</v>
      </c>
      <c r="I42" s="179"/>
      <c r="J42" s="147"/>
      <c r="K42" s="179"/>
      <c r="L42" s="179" t="str">
        <f>+'Auxiliar 2'!I23</f>
        <v>Alta o Relevante</v>
      </c>
      <c r="M42" s="179"/>
      <c r="N42" s="179"/>
    </row>
    <row r="43" spans="2:14" x14ac:dyDescent="0.25">
      <c r="B43" s="162" t="s">
        <v>252</v>
      </c>
      <c r="C43" s="163"/>
      <c r="D43" s="163" t="s">
        <v>251</v>
      </c>
      <c r="E43" s="161">
        <v>1</v>
      </c>
      <c r="H43" s="185" t="str">
        <f>+'Datos Entrada'!D24</f>
        <v>Eficiencia y Efectividad Financiera</v>
      </c>
      <c r="I43" s="185"/>
      <c r="J43" s="186"/>
      <c r="K43" s="185"/>
      <c r="L43" s="185" t="str">
        <f>+'Auxiliar 2'!I24</f>
        <v>Bajo o Baja</v>
      </c>
      <c r="M43" s="185"/>
      <c r="N43" s="185"/>
    </row>
    <row r="44" spans="2:14" x14ac:dyDescent="0.25">
      <c r="B44" s="164" t="s">
        <v>253</v>
      </c>
      <c r="C44" s="165"/>
      <c r="D44" s="165" t="s">
        <v>251</v>
      </c>
      <c r="E44" s="161">
        <v>10</v>
      </c>
      <c r="H44" s="190" t="s">
        <v>317</v>
      </c>
      <c r="I44" s="191"/>
      <c r="J44" s="191"/>
      <c r="K44" s="191"/>
      <c r="L44" s="191"/>
      <c r="M44" s="191"/>
      <c r="N44" s="191"/>
    </row>
    <row r="45" spans="2:14" x14ac:dyDescent="0.25">
      <c r="H45" s="187" t="s">
        <v>298</v>
      </c>
      <c r="I45" s="187"/>
      <c r="J45" s="187"/>
      <c r="K45" s="187"/>
      <c r="L45" s="188" t="s">
        <v>297</v>
      </c>
      <c r="M45" s="189">
        <f>+'ODS Analisis'!E6+'ODS Analisis'!E7+'ODS Analisis'!E12+'ODS Analisis'!E13+'ODS Analisis'!E14</f>
        <v>2</v>
      </c>
      <c r="N45" s="187" t="s">
        <v>301</v>
      </c>
    </row>
    <row r="46" spans="2:14" x14ac:dyDescent="0.25">
      <c r="H46" s="179" t="s">
        <v>299</v>
      </c>
      <c r="I46" s="179"/>
      <c r="J46" s="179"/>
      <c r="K46" s="179"/>
      <c r="L46" s="181" t="s">
        <v>297</v>
      </c>
      <c r="M46" s="180">
        <f>SUM('ODS Analisis'!E16:E20)</f>
        <v>2</v>
      </c>
      <c r="N46" s="179" t="s">
        <v>301</v>
      </c>
    </row>
    <row r="47" spans="2:14" x14ac:dyDescent="0.25">
      <c r="H47" s="179" t="s">
        <v>309</v>
      </c>
      <c r="I47" s="179"/>
      <c r="J47" s="179"/>
      <c r="K47" s="179"/>
      <c r="L47" s="181" t="s">
        <v>297</v>
      </c>
      <c r="M47" s="180">
        <f>'ODS Analisis'!E8+'ODS Analisis'!E9+'ODS Analisis'!E11+'ODS Analisis'!E15+'ODS Analisis'!E21+'ODS Analisis'!E22</f>
        <v>4</v>
      </c>
      <c r="N47" s="179" t="s">
        <v>305</v>
      </c>
    </row>
    <row r="48" spans="2:14" x14ac:dyDescent="0.25">
      <c r="H48" s="179" t="s">
        <v>300</v>
      </c>
      <c r="I48" s="179"/>
      <c r="J48" s="179"/>
      <c r="K48" s="179"/>
      <c r="L48" s="181" t="s">
        <v>297</v>
      </c>
      <c r="M48" s="180">
        <f>+'ODS Analisis'!E10</f>
        <v>1</v>
      </c>
      <c r="N48" s="179" t="s">
        <v>302</v>
      </c>
    </row>
    <row r="49" spans="8:14" ht="15.75" thickBot="1" x14ac:dyDescent="0.3">
      <c r="H49" s="182"/>
      <c r="I49" s="182"/>
      <c r="J49" s="182"/>
      <c r="K49" s="182"/>
      <c r="L49" s="183" t="s">
        <v>318</v>
      </c>
      <c r="M49" s="184">
        <f>SUM(M45:M48)</f>
        <v>9</v>
      </c>
      <c r="N49" s="182" t="s">
        <v>303</v>
      </c>
    </row>
    <row r="50" spans="8:14" ht="15.75" thickTop="1" x14ac:dyDescent="0.25"/>
  </sheetData>
  <mergeCells count="15">
    <mergeCell ref="B42:E42"/>
    <mergeCell ref="B31:E31"/>
    <mergeCell ref="B32:C32"/>
    <mergeCell ref="B33:C33"/>
    <mergeCell ref="B34:C34"/>
    <mergeCell ref="D33:E33"/>
    <mergeCell ref="D34:E34"/>
    <mergeCell ref="D32:E32"/>
    <mergeCell ref="B36:E36"/>
    <mergeCell ref="H26:N26"/>
    <mergeCell ref="B24:E29"/>
    <mergeCell ref="B7:E7"/>
    <mergeCell ref="B19:E21"/>
    <mergeCell ref="B23:E23"/>
    <mergeCell ref="B18:E18"/>
  </mergeCells>
  <pageMargins left="0.7" right="0.7" top="0.75" bottom="0.75" header="0.3" footer="0.3"/>
  <ignoredErrors>
    <ignoredError sqref="M46" formulaRange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7" r:id="rId3" name="Option Button 7">
              <controlPr defaultSize="0" autoFill="0" autoLine="0" autoPict="0">
                <anchor moveWithCells="1">
                  <from>
                    <xdr:col>0</xdr:col>
                    <xdr:colOff>762000</xdr:colOff>
                    <xdr:row>6</xdr:row>
                    <xdr:rowOff>171450</xdr:rowOff>
                  </from>
                  <to>
                    <xdr:col>2</xdr:col>
                    <xdr:colOff>523875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4" name="Option Button 8">
              <controlPr defaultSize="0" autoFill="0" autoLine="0" autoPict="0">
                <anchor moveWithCells="1">
                  <from>
                    <xdr:col>2</xdr:col>
                    <xdr:colOff>676275</xdr:colOff>
                    <xdr:row>6</xdr:row>
                    <xdr:rowOff>180975</xdr:rowOff>
                  </from>
                  <to>
                    <xdr:col>4</xdr:col>
                    <xdr:colOff>361950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5" name="Option Button 9">
              <controlPr defaultSize="0" autoFill="0" autoLine="0" autoPict="0">
                <anchor moveWithCells="1">
                  <from>
                    <xdr:col>1</xdr:col>
                    <xdr:colOff>619125</xdr:colOff>
                    <xdr:row>9</xdr:row>
                    <xdr:rowOff>47625</xdr:rowOff>
                  </from>
                  <to>
                    <xdr:col>3</xdr:col>
                    <xdr:colOff>409575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6" name="Drop Down 10">
              <controlPr defaultSize="0" autoLine="0" autoPict="0">
                <anchor moveWithCells="1">
                  <from>
                    <xdr:col>3</xdr:col>
                    <xdr:colOff>76200</xdr:colOff>
                    <xdr:row>35</xdr:row>
                    <xdr:rowOff>171450</xdr:rowOff>
                  </from>
                  <to>
                    <xdr:col>3</xdr:col>
                    <xdr:colOff>885825</xdr:colOff>
                    <xdr:row>37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3D0ABD8-2B5B-45D0-9DD0-9C6BD5C7F097}">
          <x14:formula1>
            <xm:f>'Auxiliar 2'!$C$8:$C$11</xm:f>
          </x14:formula1>
          <xm:sqref>D33:E33</xm:sqref>
        </x14:dataValidation>
        <x14:dataValidation type="list" allowBlank="1" showInputMessage="1" showErrorMessage="1" xr:uid="{01CCB164-64F1-43DD-8408-E55C8FEAC8F7}">
          <x14:formula1>
            <xm:f>'Auxiliar 2'!$C$14:$C$19</xm:f>
          </x14:formula1>
          <xm:sqref>D34:E34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F3BF2-40F6-4856-85F2-359B98075C8A}">
  <dimension ref="B2:L42"/>
  <sheetViews>
    <sheetView topLeftCell="A28" workbookViewId="0">
      <selection activeCell="L41" sqref="L41"/>
    </sheetView>
  </sheetViews>
  <sheetFormatPr baseColWidth="10" defaultRowHeight="15" x14ac:dyDescent="0.25"/>
  <cols>
    <col min="3" max="3" width="36.85546875" customWidth="1"/>
  </cols>
  <sheetData>
    <row r="2" spans="2:4" x14ac:dyDescent="0.25">
      <c r="C2" s="149" t="s">
        <v>230</v>
      </c>
    </row>
    <row r="3" spans="2:4" x14ac:dyDescent="0.25">
      <c r="B3">
        <v>1</v>
      </c>
      <c r="C3" s="149" t="s">
        <v>206</v>
      </c>
      <c r="D3" t="s">
        <v>231</v>
      </c>
    </row>
    <row r="4" spans="2:4" x14ac:dyDescent="0.25">
      <c r="B4">
        <v>2</v>
      </c>
      <c r="C4" t="s">
        <v>241</v>
      </c>
      <c r="D4" t="s">
        <v>232</v>
      </c>
    </row>
    <row r="5" spans="2:4" x14ac:dyDescent="0.25">
      <c r="B5">
        <v>3</v>
      </c>
      <c r="C5" t="s">
        <v>205</v>
      </c>
      <c r="D5" t="s">
        <v>242</v>
      </c>
    </row>
    <row r="7" spans="2:4" x14ac:dyDescent="0.25">
      <c r="C7" t="s">
        <v>235</v>
      </c>
      <c r="D7" t="s">
        <v>255</v>
      </c>
    </row>
    <row r="8" spans="2:4" x14ac:dyDescent="0.25">
      <c r="C8" t="s">
        <v>237</v>
      </c>
      <c r="D8" t="s">
        <v>256</v>
      </c>
    </row>
    <row r="9" spans="2:4" x14ac:dyDescent="0.25">
      <c r="C9" t="s">
        <v>238</v>
      </c>
      <c r="D9" t="s">
        <v>257</v>
      </c>
    </row>
    <row r="10" spans="2:4" x14ac:dyDescent="0.25">
      <c r="C10" t="s">
        <v>239</v>
      </c>
      <c r="D10" t="s">
        <v>258</v>
      </c>
    </row>
    <row r="11" spans="2:4" x14ac:dyDescent="0.25">
      <c r="C11" t="s">
        <v>240</v>
      </c>
    </row>
    <row r="13" spans="2:4" x14ac:dyDescent="0.25">
      <c r="C13" t="s">
        <v>236</v>
      </c>
    </row>
    <row r="14" spans="2:4" x14ac:dyDescent="0.25">
      <c r="C14" t="s">
        <v>243</v>
      </c>
    </row>
    <row r="15" spans="2:4" x14ac:dyDescent="0.25">
      <c r="C15" t="s">
        <v>244</v>
      </c>
    </row>
    <row r="16" spans="2:4" x14ac:dyDescent="0.25">
      <c r="C16" t="s">
        <v>245</v>
      </c>
    </row>
    <row r="17" spans="2:9" x14ac:dyDescent="0.25">
      <c r="C17" t="s">
        <v>246</v>
      </c>
    </row>
    <row r="19" spans="2:9" x14ac:dyDescent="0.25">
      <c r="B19">
        <v>0</v>
      </c>
      <c r="C19" t="s">
        <v>247</v>
      </c>
      <c r="D19" t="s">
        <v>293</v>
      </c>
      <c r="H19">
        <f>ROUNDUP(+'Criterios inversion'!G6,0)</f>
        <v>1</v>
      </c>
      <c r="I19" t="str">
        <f>VLOOKUP(H19,$B$19:$C$24,2,0)</f>
        <v>Muy bajo o minimo</v>
      </c>
    </row>
    <row r="20" spans="2:9" x14ac:dyDescent="0.25">
      <c r="B20">
        <v>1</v>
      </c>
      <c r="C20" t="s">
        <v>248</v>
      </c>
      <c r="D20" t="s">
        <v>4</v>
      </c>
      <c r="H20">
        <f>ROUNDUP(+'Criterios inversion'!G12,0)</f>
        <v>4</v>
      </c>
      <c r="I20" t="str">
        <f t="shared" ref="I20:I24" si="0">VLOOKUP(H20,$B$19:$C$24,2,0)</f>
        <v>Alta o Relevante</v>
      </c>
    </row>
    <row r="21" spans="2:9" x14ac:dyDescent="0.25">
      <c r="B21">
        <v>2</v>
      </c>
      <c r="C21" t="s">
        <v>295</v>
      </c>
      <c r="D21" t="s">
        <v>294</v>
      </c>
      <c r="H21">
        <f>ROUNDUP(+'Criterios inversion'!G20,0)</f>
        <v>3</v>
      </c>
      <c r="I21" t="str">
        <f t="shared" si="0"/>
        <v>Media o Parcialmente</v>
      </c>
    </row>
    <row r="22" spans="2:9" x14ac:dyDescent="0.25">
      <c r="B22">
        <v>3</v>
      </c>
      <c r="C22" t="s">
        <v>267</v>
      </c>
      <c r="D22" t="s">
        <v>36</v>
      </c>
      <c r="H22">
        <f>ROUNDUP(+'Criterios inversion'!G25,0)</f>
        <v>4</v>
      </c>
      <c r="I22" t="str">
        <f t="shared" si="0"/>
        <v>Alta o Relevante</v>
      </c>
    </row>
    <row r="23" spans="2:9" x14ac:dyDescent="0.25">
      <c r="B23">
        <v>4</v>
      </c>
      <c r="C23" t="s">
        <v>249</v>
      </c>
      <c r="D23" t="s">
        <v>228</v>
      </c>
      <c r="H23">
        <f>ROUNDUP(+'Criterios inversion'!G31,0)</f>
        <v>4</v>
      </c>
      <c r="I23" t="str">
        <f t="shared" si="0"/>
        <v>Alta o Relevante</v>
      </c>
    </row>
    <row r="24" spans="2:9" x14ac:dyDescent="0.25">
      <c r="B24">
        <v>5</v>
      </c>
      <c r="C24" t="s">
        <v>296</v>
      </c>
      <c r="D24" t="s">
        <v>6</v>
      </c>
      <c r="H24">
        <f>ROUNDUP(+'Criterios inversion'!G38,0)</f>
        <v>2</v>
      </c>
      <c r="I24" t="str">
        <f t="shared" si="0"/>
        <v>Bajo o Baja</v>
      </c>
    </row>
    <row r="26" spans="2:9" x14ac:dyDescent="0.25">
      <c r="B26">
        <v>0</v>
      </c>
      <c r="C26" t="s">
        <v>275</v>
      </c>
    </row>
    <row r="27" spans="2:9" x14ac:dyDescent="0.25">
      <c r="B27">
        <v>1</v>
      </c>
      <c r="C27" t="s">
        <v>197</v>
      </c>
    </row>
    <row r="29" spans="2:9" x14ac:dyDescent="0.25">
      <c r="C29" t="s">
        <v>310</v>
      </c>
    </row>
    <row r="30" spans="2:9" x14ac:dyDescent="0.25">
      <c r="C30" t="s">
        <v>311</v>
      </c>
    </row>
    <row r="31" spans="2:9" x14ac:dyDescent="0.25">
      <c r="C31" t="s">
        <v>312</v>
      </c>
    </row>
    <row r="33" spans="3:12" x14ac:dyDescent="0.25">
      <c r="C33" s="207" t="s">
        <v>41</v>
      </c>
      <c r="D33" s="219" t="s">
        <v>7</v>
      </c>
    </row>
    <row r="34" spans="3:12" x14ac:dyDescent="0.25">
      <c r="C34" s="210" t="s">
        <v>324</v>
      </c>
      <c r="D34" s="210" t="s">
        <v>321</v>
      </c>
      <c r="E34" s="220" t="s">
        <v>323</v>
      </c>
      <c r="F34" s="221" t="s">
        <v>322</v>
      </c>
      <c r="G34" s="210" t="s">
        <v>321</v>
      </c>
      <c r="H34" s="220" t="s">
        <v>323</v>
      </c>
      <c r="I34" s="221" t="s">
        <v>322</v>
      </c>
      <c r="J34" s="210" t="s">
        <v>321</v>
      </c>
      <c r="K34" s="220" t="s">
        <v>323</v>
      </c>
      <c r="L34" s="221" t="s">
        <v>322</v>
      </c>
    </row>
    <row r="35" spans="3:12" x14ac:dyDescent="0.25">
      <c r="C35" s="211">
        <f>+LEAME!C11</f>
        <v>2</v>
      </c>
      <c r="D35" s="211">
        <v>1</v>
      </c>
      <c r="E35" s="208">
        <v>2</v>
      </c>
      <c r="F35" s="222">
        <v>3</v>
      </c>
      <c r="G35" s="211">
        <v>1</v>
      </c>
      <c r="H35" s="208">
        <v>2</v>
      </c>
      <c r="I35" s="222">
        <v>3</v>
      </c>
      <c r="J35" s="211">
        <v>1</v>
      </c>
      <c r="K35" s="208">
        <v>2</v>
      </c>
      <c r="L35" s="222">
        <v>3</v>
      </c>
    </row>
    <row r="36" spans="3:12" x14ac:dyDescent="0.25">
      <c r="C36" s="14" t="str">
        <f>+'Politica Financiera'!B16</f>
        <v>Optimiza consumo de materia prima/materiales</v>
      </c>
      <c r="D36" s="212" t="s">
        <v>325</v>
      </c>
      <c r="E36" s="3" t="s">
        <v>325</v>
      </c>
      <c r="F36" s="214" t="s">
        <v>325</v>
      </c>
      <c r="G36" s="216">
        <f>IF(D36="No aplica",0,D36)</f>
        <v>0</v>
      </c>
      <c r="H36" s="217">
        <f t="shared" ref="H36:I41" si="1">IF(E36="No aplica",0,E36)</f>
        <v>0</v>
      </c>
      <c r="I36" s="218">
        <f t="shared" si="1"/>
        <v>0</v>
      </c>
    </row>
    <row r="37" spans="3:12" x14ac:dyDescent="0.25">
      <c r="C37" s="14" t="str">
        <f>+'Politica Financiera'!B17</f>
        <v>Optimiza el consumo de agua</v>
      </c>
      <c r="D37" s="212" t="s">
        <v>325</v>
      </c>
      <c r="E37" s="12">
        <v>0.4</v>
      </c>
      <c r="F37" s="215">
        <v>0.4</v>
      </c>
      <c r="G37" s="216">
        <f t="shared" ref="G37:G41" si="2">IF(D37="No aplica",0,D37)</f>
        <v>0</v>
      </c>
      <c r="H37" s="217">
        <f t="shared" si="1"/>
        <v>0.4</v>
      </c>
      <c r="I37" s="218">
        <f t="shared" si="1"/>
        <v>0.4</v>
      </c>
      <c r="K37" t="s">
        <v>333</v>
      </c>
      <c r="L37" t="s">
        <v>333</v>
      </c>
    </row>
    <row r="38" spans="3:12" x14ac:dyDescent="0.25">
      <c r="C38" s="14" t="str">
        <f>+'Politica Financiera'!B18</f>
        <v>Optimiza consumo de energía</v>
      </c>
      <c r="D38" s="212" t="s">
        <v>325</v>
      </c>
      <c r="E38" s="12">
        <v>0.2</v>
      </c>
      <c r="F38" s="215">
        <v>0.2</v>
      </c>
      <c r="G38" s="216">
        <f t="shared" si="2"/>
        <v>0</v>
      </c>
      <c r="H38" s="217">
        <f t="shared" si="1"/>
        <v>0.2</v>
      </c>
      <c r="I38" s="218">
        <f t="shared" si="1"/>
        <v>0.2</v>
      </c>
      <c r="K38" t="s">
        <v>334</v>
      </c>
      <c r="L38" t="s">
        <v>334</v>
      </c>
    </row>
    <row r="39" spans="3:12" x14ac:dyDescent="0.25">
      <c r="C39" s="14" t="str">
        <f>+'Politica Financiera'!B19</f>
        <v>Optimiza del espacio utilizado por el proyecto (Suelo)</v>
      </c>
      <c r="D39" s="213">
        <v>0.5</v>
      </c>
      <c r="E39" s="12">
        <v>0.2</v>
      </c>
      <c r="F39" s="215">
        <v>0.2</v>
      </c>
      <c r="G39" s="216">
        <f t="shared" si="2"/>
        <v>0.5</v>
      </c>
      <c r="H39" s="217">
        <f t="shared" si="1"/>
        <v>0.2</v>
      </c>
      <c r="I39" s="218">
        <f t="shared" si="1"/>
        <v>0.2</v>
      </c>
      <c r="J39" t="s">
        <v>332</v>
      </c>
      <c r="K39" t="s">
        <v>335</v>
      </c>
      <c r="L39" t="s">
        <v>335</v>
      </c>
    </row>
    <row r="40" spans="3:12" x14ac:dyDescent="0.25">
      <c r="C40" s="14" t="str">
        <f>+'Politica Financiera'!B20</f>
        <v>Posibilidades de reciclaje y gestión de residuos.</v>
      </c>
      <c r="D40" s="213">
        <v>0.4</v>
      </c>
      <c r="E40" s="3" t="s">
        <v>325</v>
      </c>
      <c r="F40" s="215">
        <v>0.1</v>
      </c>
      <c r="G40" s="216">
        <f t="shared" si="2"/>
        <v>0.4</v>
      </c>
      <c r="H40" s="217">
        <f t="shared" si="1"/>
        <v>0</v>
      </c>
      <c r="I40" s="218">
        <f t="shared" si="1"/>
        <v>0.1</v>
      </c>
      <c r="J40" t="s">
        <v>336</v>
      </c>
      <c r="L40" t="s">
        <v>336</v>
      </c>
    </row>
    <row r="41" spans="3:12" x14ac:dyDescent="0.25">
      <c r="C41" s="14" t="str">
        <f>+'Politica Financiera'!B21</f>
        <v>Maximiza el uso de recursos renovables contra no renovables</v>
      </c>
      <c r="D41" s="213">
        <v>0.1</v>
      </c>
      <c r="E41" s="12">
        <v>0.2</v>
      </c>
      <c r="F41" s="215">
        <v>0.1</v>
      </c>
      <c r="G41" s="216">
        <f t="shared" si="2"/>
        <v>0.1</v>
      </c>
      <c r="H41" s="217">
        <f t="shared" si="1"/>
        <v>0.2</v>
      </c>
      <c r="I41" s="218">
        <f t="shared" si="1"/>
        <v>0.1</v>
      </c>
      <c r="J41" t="s">
        <v>337</v>
      </c>
      <c r="K41" t="s">
        <v>337</v>
      </c>
      <c r="L41" t="s">
        <v>337</v>
      </c>
    </row>
    <row r="42" spans="3:12" x14ac:dyDescent="0.25">
      <c r="C42" s="1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F0BF-6567-4E37-9B6C-1D2CBCEB0586}">
  <dimension ref="A1"/>
  <sheetViews>
    <sheetView workbookViewId="0">
      <selection activeCell="P19" sqref="P1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A60E4-896F-4BEA-928F-D0D8C5E212A1}">
  <dimension ref="B1:M27"/>
  <sheetViews>
    <sheetView topLeftCell="A21" workbookViewId="0">
      <selection activeCell="C28" sqref="C28"/>
    </sheetView>
  </sheetViews>
  <sheetFormatPr baseColWidth="10" defaultRowHeight="15" x14ac:dyDescent="0.25"/>
  <cols>
    <col min="1" max="1" width="6.28515625" customWidth="1"/>
    <col min="2" max="2" width="5.5703125" customWidth="1"/>
    <col min="3" max="3" width="8.28515625" style="3" customWidth="1"/>
    <col min="4" max="4" width="18.28515625" customWidth="1"/>
    <col min="5" max="5" width="23" customWidth="1"/>
    <col min="6" max="6" width="29.7109375" customWidth="1"/>
    <col min="7" max="7" width="13.140625" customWidth="1"/>
    <col min="8" max="13" width="13.85546875" customWidth="1"/>
  </cols>
  <sheetData>
    <row r="1" spans="2:13" ht="15.75" thickBot="1" x14ac:dyDescent="0.3">
      <c r="G1" s="20"/>
    </row>
    <row r="2" spans="2:13" ht="15.75" thickBot="1" x14ac:dyDescent="0.3">
      <c r="B2" s="296" t="s">
        <v>28</v>
      </c>
      <c r="C2" s="296" t="s">
        <v>1</v>
      </c>
      <c r="D2" s="296" t="s">
        <v>119</v>
      </c>
      <c r="E2" s="295" t="s">
        <v>29</v>
      </c>
      <c r="F2" s="25" t="s">
        <v>30</v>
      </c>
      <c r="G2" s="296" t="s">
        <v>132</v>
      </c>
      <c r="H2" s="6">
        <v>0</v>
      </c>
      <c r="I2" s="6">
        <f>+H2+1</f>
        <v>1</v>
      </c>
      <c r="J2" s="6">
        <f t="shared" ref="J2:M2" si="0">+I2+1</f>
        <v>2</v>
      </c>
      <c r="K2" s="6">
        <f t="shared" si="0"/>
        <v>3</v>
      </c>
      <c r="L2" s="6">
        <f t="shared" si="0"/>
        <v>4</v>
      </c>
      <c r="M2" s="6">
        <f t="shared" si="0"/>
        <v>5</v>
      </c>
    </row>
    <row r="3" spans="2:13" ht="75.75" thickBot="1" x14ac:dyDescent="0.3">
      <c r="B3" s="296"/>
      <c r="C3" s="296"/>
      <c r="D3" s="296"/>
      <c r="E3" s="295"/>
      <c r="F3" s="24" t="s">
        <v>9</v>
      </c>
      <c r="G3" s="296"/>
      <c r="H3" s="101" t="s">
        <v>133</v>
      </c>
      <c r="I3" s="92" t="s">
        <v>134</v>
      </c>
      <c r="J3" s="92" t="s">
        <v>135</v>
      </c>
      <c r="K3" s="92" t="s">
        <v>129</v>
      </c>
      <c r="L3" s="92" t="s">
        <v>130</v>
      </c>
      <c r="M3" s="92" t="s">
        <v>131</v>
      </c>
    </row>
    <row r="4" spans="2:13" x14ac:dyDescent="0.25">
      <c r="B4" s="302"/>
      <c r="C4" s="302">
        <v>1</v>
      </c>
      <c r="D4" s="303" t="s">
        <v>3</v>
      </c>
      <c r="E4" s="27" t="s">
        <v>31</v>
      </c>
      <c r="F4" s="29">
        <f>IF(LEAME!$C$11=1,Auxiliar!F4,IF(LEAME!$C$11=2,Auxiliar!G4,Auxiliar!H4))</f>
        <v>0.5</v>
      </c>
      <c r="G4" s="94">
        <v>0</v>
      </c>
      <c r="H4" s="276" t="s">
        <v>136</v>
      </c>
      <c r="I4" s="277"/>
      <c r="J4" s="277"/>
      <c r="K4" s="277"/>
      <c r="L4" s="277"/>
      <c r="M4" s="278"/>
    </row>
    <row r="5" spans="2:13" x14ac:dyDescent="0.25">
      <c r="B5" s="299"/>
      <c r="C5" s="299"/>
      <c r="D5" s="301"/>
      <c r="E5" s="30" t="s">
        <v>32</v>
      </c>
      <c r="F5" s="32">
        <f>IF(LEAME!$C$11=1,Auxiliar!F5,IF(LEAME!$C$11=2,Auxiliar!G5,Auxiliar!H5))</f>
        <v>0.5</v>
      </c>
      <c r="G5" s="95">
        <v>2</v>
      </c>
      <c r="H5" s="279" t="s">
        <v>147</v>
      </c>
      <c r="I5" s="280"/>
      <c r="J5" s="280"/>
      <c r="K5" s="280"/>
      <c r="L5" s="280"/>
      <c r="M5" s="281"/>
    </row>
    <row r="6" spans="2:13" x14ac:dyDescent="0.25">
      <c r="B6" s="33"/>
      <c r="C6" s="34"/>
      <c r="D6" s="33"/>
      <c r="E6" s="33"/>
      <c r="F6" s="33"/>
      <c r="G6" s="34"/>
    </row>
    <row r="7" spans="2:13" ht="48" x14ac:dyDescent="0.25">
      <c r="B7" s="35"/>
      <c r="C7" s="36">
        <v>2</v>
      </c>
      <c r="D7" s="297" t="s">
        <v>4</v>
      </c>
      <c r="E7" s="99" t="s">
        <v>120</v>
      </c>
      <c r="F7" s="96">
        <f>IF(LEAME!$C$11=1,Auxiliar!F9,IF(LEAME!$C$11=2,Auxiliar!G9,Auxiliar!H9))</f>
        <v>0.2</v>
      </c>
      <c r="G7" s="95">
        <v>0</v>
      </c>
      <c r="H7" s="264" t="s">
        <v>223</v>
      </c>
      <c r="I7" s="265"/>
      <c r="J7" s="265"/>
      <c r="K7" s="265"/>
      <c r="L7" s="265"/>
      <c r="M7" s="266"/>
    </row>
    <row r="8" spans="2:13" ht="48" x14ac:dyDescent="0.25">
      <c r="B8" s="39"/>
      <c r="C8" s="40"/>
      <c r="D8" s="298"/>
      <c r="E8" s="99" t="s">
        <v>107</v>
      </c>
      <c r="F8" s="102">
        <f>IF(LEAME!$C$11=1,Auxiliar!F10,IF(LEAME!$C$11=2,Auxiliar!G10,Auxiliar!H10))</f>
        <v>0.4</v>
      </c>
      <c r="G8" s="95">
        <v>3</v>
      </c>
      <c r="H8" s="270" t="s">
        <v>224</v>
      </c>
      <c r="I8" s="271"/>
      <c r="J8" s="271"/>
      <c r="K8" s="271"/>
      <c r="L8" s="271"/>
      <c r="M8" s="272"/>
    </row>
    <row r="9" spans="2:13" ht="25.9" customHeight="1" x14ac:dyDescent="0.25">
      <c r="B9" s="39"/>
      <c r="C9" s="40"/>
      <c r="D9" s="39"/>
      <c r="E9" s="100" t="s">
        <v>108</v>
      </c>
      <c r="F9" s="42">
        <f>IF(LEAME!$C$11=1,Auxiliar!F11,IF(LEAME!$C$11=2,Auxiliar!G11,Auxiliar!H11))</f>
        <v>0.4</v>
      </c>
      <c r="G9" s="95">
        <v>5</v>
      </c>
      <c r="H9" s="267" t="s">
        <v>225</v>
      </c>
      <c r="I9" s="268"/>
      <c r="J9" s="268"/>
      <c r="K9" s="268"/>
      <c r="L9" s="268"/>
      <c r="M9" s="269"/>
    </row>
    <row r="10" spans="2:13" x14ac:dyDescent="0.25">
      <c r="B10" s="43"/>
      <c r="C10" s="44"/>
      <c r="D10" s="43"/>
      <c r="E10" s="43"/>
      <c r="F10" s="44"/>
      <c r="G10" s="44"/>
    </row>
    <row r="11" spans="2:13" x14ac:dyDescent="0.25">
      <c r="B11" s="299"/>
      <c r="C11" s="299">
        <v>3</v>
      </c>
      <c r="D11" s="300" t="s">
        <v>5</v>
      </c>
      <c r="E11" s="45" t="s">
        <v>34</v>
      </c>
      <c r="F11" s="47">
        <f>IF(LEAME!$C$11=1,Auxiliar!F15,IF(LEAME!$C$11=2,Auxiliar!G15,Auxiliar!H15))</f>
        <v>0.15</v>
      </c>
      <c r="G11" s="95">
        <v>0</v>
      </c>
      <c r="H11" s="282" t="s">
        <v>143</v>
      </c>
      <c r="I11" s="283"/>
      <c r="J11" s="283"/>
      <c r="K11" s="283"/>
      <c r="L11" s="283"/>
      <c r="M11" s="284"/>
    </row>
    <row r="12" spans="2:13" x14ac:dyDescent="0.25">
      <c r="B12" s="299"/>
      <c r="C12" s="299"/>
      <c r="D12" s="301"/>
      <c r="E12" s="30" t="s">
        <v>20</v>
      </c>
      <c r="F12" s="32">
        <f>IF(LEAME!$C$11=1,Auxiliar!F16,IF(LEAME!$C$11=2,Auxiliar!G16,Auxiliar!H16))</f>
        <v>0.25</v>
      </c>
      <c r="G12" s="95">
        <v>0</v>
      </c>
      <c r="H12" s="261" t="s">
        <v>144</v>
      </c>
      <c r="I12" s="262"/>
      <c r="J12" s="262"/>
      <c r="K12" s="262"/>
      <c r="L12" s="262"/>
      <c r="M12" s="263"/>
    </row>
    <row r="13" spans="2:13" x14ac:dyDescent="0.25">
      <c r="B13" s="299"/>
      <c r="C13" s="299"/>
      <c r="D13" s="301"/>
      <c r="E13" s="30" t="s">
        <v>19</v>
      </c>
      <c r="F13" s="32">
        <f>IF(LEAME!$C$11=1,Auxiliar!F17,IF(LEAME!$C$11=2,Auxiliar!G17,Auxiliar!H17))</f>
        <v>0.1</v>
      </c>
      <c r="G13" s="95">
        <v>5</v>
      </c>
      <c r="H13" s="261" t="s">
        <v>226</v>
      </c>
      <c r="I13" s="262"/>
      <c r="J13" s="262"/>
      <c r="K13" s="262"/>
      <c r="L13" s="262"/>
      <c r="M13" s="263"/>
    </row>
    <row r="14" spans="2:13" x14ac:dyDescent="0.25">
      <c r="B14" s="293"/>
      <c r="C14" s="293"/>
      <c r="D14" s="301"/>
      <c r="E14" s="30" t="s">
        <v>18</v>
      </c>
      <c r="F14" s="32">
        <f>IF(LEAME!$C$11=1,Auxiliar!F18,IF(LEAME!$C$11=2,Auxiliar!G18,Auxiliar!H18))</f>
        <v>0.3</v>
      </c>
      <c r="G14" s="95">
        <v>5</v>
      </c>
      <c r="H14" s="261" t="s">
        <v>148</v>
      </c>
      <c r="I14" s="262"/>
      <c r="J14" s="262"/>
      <c r="K14" s="262"/>
      <c r="L14" s="262"/>
      <c r="M14" s="263"/>
    </row>
    <row r="15" spans="2:13" ht="60" x14ac:dyDescent="0.25">
      <c r="B15" s="30"/>
      <c r="C15" s="31"/>
      <c r="D15" s="30" t="s">
        <v>35</v>
      </c>
      <c r="E15" s="48" t="s">
        <v>21</v>
      </c>
      <c r="F15" s="103">
        <f>IF(LEAME!$C$11=1,Auxiliar!F19,IF(LEAME!$C$11=2,Auxiliar!G19,Auxiliar!H19))</f>
        <v>0.2</v>
      </c>
      <c r="G15" s="95">
        <v>4</v>
      </c>
      <c r="H15" s="273" t="s">
        <v>227</v>
      </c>
      <c r="I15" s="274"/>
      <c r="J15" s="274"/>
      <c r="K15" s="274"/>
      <c r="L15" s="274"/>
      <c r="M15" s="275"/>
    </row>
    <row r="16" spans="2:13" x14ac:dyDescent="0.25">
      <c r="B16" s="33"/>
      <c r="C16" s="34"/>
      <c r="D16" s="33"/>
      <c r="E16" s="33"/>
      <c r="F16" s="33"/>
      <c r="G16" s="34"/>
    </row>
    <row r="17" spans="2:13" ht="76.5" x14ac:dyDescent="0.25">
      <c r="B17" s="285"/>
      <c r="C17" s="285">
        <v>4</v>
      </c>
      <c r="D17" s="292" t="s">
        <v>36</v>
      </c>
      <c r="E17" s="108" t="str">
        <f>IF(LEAME!$C$11=1,Auxiliar!F43,IF(LEAME!$C$11=2,Auxiliar!G43,Auxiliar!H43))</f>
        <v>Alineación con las políticas nacionales (especialmente las NDC, los Programa País, Planes Nacionales de Adaptación, etc.</v>
      </c>
      <c r="F17" s="96">
        <f>IF(LEAME!$C$11=1,Auxiliar!F23,IF(LEAME!$C$11=2,Auxiliar!G23,Auxiliar!H23))</f>
        <v>0.5</v>
      </c>
      <c r="G17" s="95">
        <v>5</v>
      </c>
      <c r="H17" s="250" t="str">
        <f>IF(LEAME!$C$11=1,Auxiliar!F45,IF(LEAME!$C$11=2,Auxiliar!G45,Auxiliar!H45))</f>
        <v>Se busca que el proyecto apoye a la mayor cantidad de personas que dependen de los bosques y comunidades, cuyos medios de vida desaparecen o sufren pérdidas no económicas (patrimonio cultural, conocimientos indígenas, identidad social/cultural), como producto de la deforestación o la degradación de los bosques a raíz del cambio climático.</v>
      </c>
      <c r="I17" s="250">
        <f>IF(LEAME!$C$11=1,Auxiliar!J43,IF(LEAME!$C$11=2,Auxiliar!K43,Auxiliar!L43))</f>
        <v>0</v>
      </c>
      <c r="J17" s="250">
        <f>IF(LEAME!$C$11=1,Auxiliar!K43,IF(LEAME!$C$11=2,Auxiliar!L43,Auxiliar!M43))</f>
        <v>0</v>
      </c>
      <c r="K17" s="250">
        <f>IF(LEAME!$C$11=1,Auxiliar!L43,IF(LEAME!$C$11=2,Auxiliar!M43,Auxiliar!N43))</f>
        <v>0</v>
      </c>
      <c r="L17" s="250">
        <f>IF(LEAME!$C$11=1,Auxiliar!M43,IF(LEAME!$C$11=2,Auxiliar!N43,Auxiliar!O43))</f>
        <v>0</v>
      </c>
      <c r="M17" s="250">
        <f>IF(LEAME!$C$11=1,Auxiliar!N43,IF(LEAME!$C$11=2,Auxiliar!O43,Auxiliar!P43))</f>
        <v>0</v>
      </c>
    </row>
    <row r="18" spans="2:13" ht="72" customHeight="1" x14ac:dyDescent="0.25">
      <c r="B18" s="286"/>
      <c r="C18" s="286"/>
      <c r="D18" s="287"/>
      <c r="E18" s="37" t="str">
        <f>IF(LEAME!$C$11=1,Auxiliar!F44,IF(LEAME!$C$11=2,Auxiliar!G44,Auxiliar!H44))</f>
        <v xml:space="preserve"> Respaldado por una variedad de partes interesadas</v>
      </c>
      <c r="F18" s="96">
        <f>IF(LEAME!$C$11=1,Auxiliar!F24,IF(LEAME!$C$11=2,Auxiliar!G24,Auxiliar!H24))</f>
        <v>0.5</v>
      </c>
      <c r="G18" s="95">
        <v>3</v>
      </c>
      <c r="H18" s="273" t="str">
        <f>IF(LEAME!$C$11=1,Auxiliar!F46,IF(LEAME!$C$11=2,Auxiliar!G46,Auxiliar!H46))</f>
        <v xml:space="preserve">Se busca que existan fuentes alternativas de financiamiento, que apoye desarrollo económico y social del país y la población afectada. </v>
      </c>
      <c r="I18" s="274">
        <f>IF(LEAME!$C$11=1,Auxiliar!J44,IF(LEAME!$C$11=2,Auxiliar!K44,Auxiliar!L44))</f>
        <v>0</v>
      </c>
      <c r="J18" s="274">
        <f>IF(LEAME!$C$11=1,Auxiliar!K44,IF(LEAME!$C$11=2,Auxiliar!L44,Auxiliar!M44))</f>
        <v>0</v>
      </c>
      <c r="K18" s="274">
        <f>IF(LEAME!$C$11=1,Auxiliar!L44,IF(LEAME!$C$11=2,Auxiliar!M44,Auxiliar!N44))</f>
        <v>0</v>
      </c>
      <c r="L18" s="274">
        <f>IF(LEAME!$C$11=1,Auxiliar!M44,IF(LEAME!$C$11=2,Auxiliar!N44,Auxiliar!O44))</f>
        <v>0</v>
      </c>
      <c r="M18" s="275">
        <f>IF(LEAME!$C$11=1,Auxiliar!N44,IF(LEAME!$C$11=2,Auxiliar!O44,Auxiliar!P44))</f>
        <v>0</v>
      </c>
    </row>
    <row r="19" spans="2:13" x14ac:dyDescent="0.25">
      <c r="B19" s="43"/>
      <c r="C19" s="44"/>
      <c r="D19" s="43"/>
      <c r="E19" s="43"/>
      <c r="F19" s="43"/>
      <c r="G19" s="44"/>
    </row>
    <row r="20" spans="2:13" ht="45" x14ac:dyDescent="0.25">
      <c r="B20" s="293"/>
      <c r="C20" s="293">
        <v>5</v>
      </c>
      <c r="D20" s="293" t="s">
        <v>228</v>
      </c>
      <c r="E20" s="49" t="s">
        <v>39</v>
      </c>
      <c r="F20" s="97">
        <f>IF(LEAME!$C$11=1,Auxiliar!F28,IF(LEAME!$C$11=2,Auxiliar!G28,Auxiliar!H28))</f>
        <v>0.1</v>
      </c>
      <c r="G20" s="95">
        <v>5</v>
      </c>
      <c r="H20" s="264" t="str">
        <f>IF(LEAME!$C$11=1,Auxiliar!F47,IF(LEAME!$C$11=2,Auxiliar!G47,Auxiliar!H47))</f>
        <v>Se busca la implementación de nuevos mecanismos institucionales, de gobernanza o coordinación que se necesitan para conseguir el compromiso del país</v>
      </c>
      <c r="I20" s="265">
        <f>IF(LEAME!$C$11=1,Auxiliar!J48,IF(LEAME!$C$11=2,Auxiliar!K48,Auxiliar!L48))</f>
        <v>0</v>
      </c>
      <c r="J20" s="265">
        <f>IF(LEAME!$C$11=1,Auxiliar!K48,IF(LEAME!$C$11=2,Auxiliar!L48,Auxiliar!M48))</f>
        <v>0</v>
      </c>
      <c r="K20" s="265">
        <f>IF(LEAME!$C$11=1,Auxiliar!L48,IF(LEAME!$C$11=2,Auxiliar!M48,Auxiliar!N48))</f>
        <v>0</v>
      </c>
      <c r="L20" s="265">
        <f>IF(LEAME!$C$11=1,Auxiliar!M48,IF(LEAME!$C$11=2,Auxiliar!N48,Auxiliar!O48))</f>
        <v>0</v>
      </c>
      <c r="M20" s="266">
        <f>IF(LEAME!$C$11=1,Auxiliar!N48,IF(LEAME!$C$11=2,Auxiliar!O48,Auxiliar!P48))</f>
        <v>0</v>
      </c>
    </row>
    <row r="21" spans="2:13" ht="46.15" customHeight="1" x14ac:dyDescent="0.25">
      <c r="B21" s="294"/>
      <c r="C21" s="294"/>
      <c r="D21" s="294"/>
      <c r="E21" s="30" t="s">
        <v>22</v>
      </c>
      <c r="F21" s="32">
        <f>IF(LEAME!$C$11=1,Auxiliar!F29,IF(LEAME!$C$11=2,Auxiliar!G29,Auxiliar!H29))</f>
        <v>0.3</v>
      </c>
      <c r="G21" s="95">
        <v>3</v>
      </c>
      <c r="H21" s="270" t="str">
        <f>IF(LEAME!$C$11=1,Auxiliar!F48,IF(LEAME!$C$11=2,Auxiliar!G48,Auxiliar!H48))</f>
        <v>Se busca que este considerado y sea una prioridad en los NDC, Programa Pais, Planes Nacionales de Adaptacion</v>
      </c>
      <c r="I21" s="271">
        <f>IF(LEAME!$C$11=1,Auxiliar!J49,IF(LEAME!$C$11=2,Auxiliar!K49,Auxiliar!L49))</f>
        <v>0</v>
      </c>
      <c r="J21" s="271">
        <f>IF(LEAME!$C$11=1,Auxiliar!K49,IF(LEAME!$C$11=2,Auxiliar!L49,Auxiliar!M49))</f>
        <v>0</v>
      </c>
      <c r="K21" s="271">
        <f>IF(LEAME!$C$11=1,Auxiliar!L49,IF(LEAME!$C$11=2,Auxiliar!M49,Auxiliar!N49))</f>
        <v>0</v>
      </c>
      <c r="L21" s="271">
        <f>IF(LEAME!$C$11=1,Auxiliar!M49,IF(LEAME!$C$11=2,Auxiliar!N49,Auxiliar!O49))</f>
        <v>0</v>
      </c>
      <c r="M21" s="272">
        <f>IF(LEAME!$C$11=1,Auxiliar!N49,IF(LEAME!$C$11=2,Auxiliar!O49,Auxiliar!P49))</f>
        <v>0</v>
      </c>
    </row>
    <row r="22" spans="2:13" ht="60" x14ac:dyDescent="0.25">
      <c r="B22" s="294"/>
      <c r="C22" s="294"/>
      <c r="D22" s="294"/>
      <c r="E22" s="48" t="s">
        <v>110</v>
      </c>
      <c r="F22" s="32">
        <f>IF(LEAME!$C$11=1,Auxiliar!F30,IF(LEAME!$C$11=2,Auxiliar!G30,Auxiliar!H30))</f>
        <v>0.6</v>
      </c>
      <c r="G22" s="95">
        <v>4</v>
      </c>
      <c r="H22" s="273" t="str">
        <f>IF(LEAME!$C$11=1,Auxiliar!F49,IF(LEAME!$C$11=2,Auxiliar!G49,Auxiliar!H49))</f>
        <v>Se busca que apoye la implementación de nuevos mecanismos institucionales, de gobernanza o coordinación que se necesitan para conseguir el compromiso del país; participación de las partes interesadas, lo que implica demostrar que el proyecto/programa se ha elaborado en consulta con las organizaciones de la sociedad civil y otras partes interesadas relevantes, con especial atención a la igualdad de género</v>
      </c>
      <c r="I22" s="274">
        <f>IF(LEAME!$C$11=1,Auxiliar!J53,IF(LEAME!$C$11=2,Auxiliar!K53,Auxiliar!L53))</f>
        <v>0</v>
      </c>
      <c r="J22" s="274">
        <f>IF(LEAME!$C$11=1,Auxiliar!K53,IF(LEAME!$C$11=2,Auxiliar!L53,Auxiliar!M53))</f>
        <v>0</v>
      </c>
      <c r="K22" s="274">
        <f>IF(LEAME!$C$11=1,Auxiliar!L53,IF(LEAME!$C$11=2,Auxiliar!M53,Auxiliar!N53))</f>
        <v>0</v>
      </c>
      <c r="L22" s="274">
        <f>IF(LEAME!$C$11=1,Auxiliar!M53,IF(LEAME!$C$11=2,Auxiliar!N53,Auxiliar!O53))</f>
        <v>0</v>
      </c>
      <c r="M22" s="275">
        <f>IF(LEAME!$C$11=1,Auxiliar!N53,IF(LEAME!$C$11=2,Auxiliar!O53,Auxiliar!P53))</f>
        <v>0</v>
      </c>
    </row>
    <row r="23" spans="2:13" x14ac:dyDescent="0.25">
      <c r="B23" s="33"/>
      <c r="C23" s="34"/>
      <c r="D23" s="33"/>
      <c r="E23" s="33"/>
      <c r="F23" s="34"/>
      <c r="G23" s="34"/>
    </row>
    <row r="24" spans="2:13" ht="45" x14ac:dyDescent="0.25">
      <c r="B24" s="285"/>
      <c r="C24" s="285">
        <v>6</v>
      </c>
      <c r="D24" s="287" t="s">
        <v>319</v>
      </c>
      <c r="E24" s="37" t="s">
        <v>25</v>
      </c>
      <c r="F24" s="96">
        <f>IF(LEAME!$C$11=1,Auxiliar!F34,IF(LEAME!$C$11=2,Auxiliar!G34,Auxiliar!H34))</f>
        <v>0.15</v>
      </c>
      <c r="G24" s="95">
        <v>0</v>
      </c>
      <c r="H24" s="264" t="str">
        <f>IF(LEAME!$C$11=1,Auxiliar!F50,IF(LEAME!$C$11=2,Auxiliar!G50,Auxiliar!H50))</f>
        <v>Se busca que existan otras entidades que financian intervenciones similares en las mismas area geografica</v>
      </c>
      <c r="I24" s="265">
        <f>IF(LEAME!$C$11=1,Auxiliar!J54,IF(LEAME!$C$11=2,Auxiliar!K54,Auxiliar!L54))</f>
        <v>0</v>
      </c>
      <c r="J24" s="265">
        <f>IF(LEAME!$C$11=1,Auxiliar!K54,IF(LEAME!$C$11=2,Auxiliar!L54,Auxiliar!M54))</f>
        <v>0</v>
      </c>
      <c r="K24" s="265">
        <f>IF(LEAME!$C$11=1,Auxiliar!L54,IF(LEAME!$C$11=2,Auxiliar!M54,Auxiliar!N54))</f>
        <v>0</v>
      </c>
      <c r="L24" s="265">
        <f>IF(LEAME!$C$11=1,Auxiliar!M54,IF(LEAME!$C$11=2,Auxiliar!N54,Auxiliar!O54))</f>
        <v>0</v>
      </c>
      <c r="M24" s="266">
        <f>IF(LEAME!$C$11=1,Auxiliar!N54,IF(LEAME!$C$11=2,Auxiliar!O54,Auxiliar!P54))</f>
        <v>0</v>
      </c>
    </row>
    <row r="25" spans="2:13" ht="45" x14ac:dyDescent="0.25">
      <c r="B25" s="286"/>
      <c r="C25" s="286"/>
      <c r="D25" s="288"/>
      <c r="E25" s="41" t="s">
        <v>26</v>
      </c>
      <c r="F25" s="102">
        <f>IF(LEAME!$C$11=1,Auxiliar!F35,IF(LEAME!$C$11=2,Auxiliar!G35,Auxiliar!H35))</f>
        <v>0.35</v>
      </c>
      <c r="G25" s="95">
        <v>3</v>
      </c>
      <c r="H25" s="270" t="str">
        <f>IF(LEAME!$C$11=1,Auxiliar!F51,IF(LEAME!$C$11=2,Auxiliar!G51,Auxiliar!H51))</f>
        <v>Se busca la promoción que la protección, restauración y gestión sostenible de los bosques genere demanda. Que la actividad tenga potencial para catalizar o impulsar otras inversiones (cofinanciamiento)</v>
      </c>
      <c r="I25" s="271">
        <f>IF(LEAME!$C$11=1,Auxiliar!J55,IF(LEAME!$C$11=2,Auxiliar!K55,Auxiliar!L55))</f>
        <v>0</v>
      </c>
      <c r="J25" s="271">
        <f>IF(LEAME!$C$11=1,Auxiliar!K55,IF(LEAME!$C$11=2,Auxiliar!L55,Auxiliar!M55))</f>
        <v>0</v>
      </c>
      <c r="K25" s="271">
        <f>IF(LEAME!$C$11=1,Auxiliar!L55,IF(LEAME!$C$11=2,Auxiliar!M55,Auxiliar!N55))</f>
        <v>0</v>
      </c>
      <c r="L25" s="271">
        <f>IF(LEAME!$C$11=1,Auxiliar!M55,IF(LEAME!$C$11=2,Auxiliar!N55,Auxiliar!O55))</f>
        <v>0</v>
      </c>
      <c r="M25" s="272">
        <f>IF(LEAME!$C$11=1,Auxiliar!N55,IF(LEAME!$C$11=2,Auxiliar!O55,Auxiliar!P55))</f>
        <v>0</v>
      </c>
    </row>
    <row r="26" spans="2:13" ht="45" x14ac:dyDescent="0.25">
      <c r="B26" s="286"/>
      <c r="C26" s="286"/>
      <c r="D26" s="288"/>
      <c r="E26" s="41" t="s">
        <v>23</v>
      </c>
      <c r="F26" s="102">
        <f>IF(LEAME!$C$11=1,Auxiliar!F36,IF(LEAME!$C$11=2,Auxiliar!G36,Auxiliar!H36))</f>
        <v>0.15</v>
      </c>
      <c r="G26" s="95">
        <v>0</v>
      </c>
      <c r="H26" s="270" t="str">
        <f>IF(LEAME!$C$11=1,Auxiliar!F52,IF(LEAME!$C$11=2,Auxiliar!G52,Auxiliar!H52))</f>
        <v>Se busca que el proyecto/programa aplique buenas prácticas de la industria y un grado de innovación, incluidas las pertinentes a los pueblos indígenas y las comunidades locales, y las mejores tecnologías del mercado</v>
      </c>
      <c r="I26" s="271">
        <f>IF(LEAME!$C$11=1,Auxiliar!J56,IF(LEAME!$C$11=2,Auxiliar!K56,Auxiliar!L56))</f>
        <v>0</v>
      </c>
      <c r="J26" s="271">
        <f>IF(LEAME!$C$11=1,Auxiliar!K56,IF(LEAME!$C$11=2,Auxiliar!L56,Auxiliar!M56))</f>
        <v>0</v>
      </c>
      <c r="K26" s="271">
        <f>IF(LEAME!$C$11=1,Auxiliar!L56,IF(LEAME!$C$11=2,Auxiliar!M56,Auxiliar!N56))</f>
        <v>0</v>
      </c>
      <c r="L26" s="271">
        <f>IF(LEAME!$C$11=1,Auxiliar!M56,IF(LEAME!$C$11=2,Auxiliar!N56,Auxiliar!O56))</f>
        <v>0</v>
      </c>
      <c r="M26" s="272">
        <f>IF(LEAME!$C$11=1,Auxiliar!N56,IF(LEAME!$C$11=2,Auxiliar!O56,Auxiliar!P56))</f>
        <v>0</v>
      </c>
    </row>
    <row r="27" spans="2:13" ht="30" x14ac:dyDescent="0.25">
      <c r="B27" s="286"/>
      <c r="C27" s="286"/>
      <c r="D27" s="39"/>
      <c r="E27" s="41" t="s">
        <v>24</v>
      </c>
      <c r="F27" s="42">
        <f>IF(LEAME!$C$11=1,Auxiliar!F37,IF(LEAME!$C$11=2,Auxiliar!G37,Auxiliar!H37))</f>
        <v>0.35</v>
      </c>
      <c r="G27" s="95">
        <v>2</v>
      </c>
      <c r="H27" s="289" t="s">
        <v>145</v>
      </c>
      <c r="I27" s="290"/>
      <c r="J27" s="290"/>
      <c r="K27" s="290"/>
      <c r="L27" s="290"/>
      <c r="M27" s="291"/>
    </row>
  </sheetData>
  <mergeCells count="40">
    <mergeCell ref="B2:B3"/>
    <mergeCell ref="C2:C3"/>
    <mergeCell ref="D2:D3"/>
    <mergeCell ref="B11:B14"/>
    <mergeCell ref="C11:C14"/>
    <mergeCell ref="D11:D14"/>
    <mergeCell ref="B4:B5"/>
    <mergeCell ref="C4:C5"/>
    <mergeCell ref="D4:D5"/>
    <mergeCell ref="C20:C22"/>
    <mergeCell ref="D20:D22"/>
    <mergeCell ref="E2:E3"/>
    <mergeCell ref="G2:G3"/>
    <mergeCell ref="D7:D8"/>
    <mergeCell ref="B24:B27"/>
    <mergeCell ref="C24:C27"/>
    <mergeCell ref="D24:D26"/>
    <mergeCell ref="H27:M27"/>
    <mergeCell ref="H17:M17"/>
    <mergeCell ref="H18:M18"/>
    <mergeCell ref="H20:M20"/>
    <mergeCell ref="H21:M21"/>
    <mergeCell ref="H22:M22"/>
    <mergeCell ref="H24:M24"/>
    <mergeCell ref="H25:M25"/>
    <mergeCell ref="H26:M26"/>
    <mergeCell ref="B17:B18"/>
    <mergeCell ref="C17:C18"/>
    <mergeCell ref="D17:D18"/>
    <mergeCell ref="B20:B22"/>
    <mergeCell ref="H4:M4"/>
    <mergeCell ref="H5:M5"/>
    <mergeCell ref="H11:M11"/>
    <mergeCell ref="H12:M12"/>
    <mergeCell ref="H13:M13"/>
    <mergeCell ref="H14:M14"/>
    <mergeCell ref="H7:M7"/>
    <mergeCell ref="H9:M9"/>
    <mergeCell ref="H8:M8"/>
    <mergeCell ref="H15:M15"/>
  </mergeCells>
  <dataValidations count="1">
    <dataValidation type="whole" allowBlank="1" showInputMessage="1" showErrorMessage="1" sqref="G24:G27 G7:G9 G11:G15 G17:G18 G20:G22 G5 G4" xr:uid="{8ECB68F6-71CC-4D25-A1BB-AC4F0C55D11D}">
      <formula1>0</formula1>
      <formula2>5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2E8BC-A305-4B58-B892-539E65E0355F}">
  <dimension ref="A1:M22"/>
  <sheetViews>
    <sheetView topLeftCell="A12" workbookViewId="0">
      <selection activeCell="A17" sqref="A17:E17"/>
    </sheetView>
  </sheetViews>
  <sheetFormatPr baseColWidth="10" defaultRowHeight="15" x14ac:dyDescent="0.25"/>
  <cols>
    <col min="1" max="1" width="11.5703125" style="14"/>
    <col min="2" max="2" width="30.42578125" customWidth="1"/>
    <col min="3" max="4" width="12.7109375" style="3" customWidth="1"/>
    <col min="5" max="5" width="18.28515625" customWidth="1"/>
    <col min="6" max="11" width="14.85546875" customWidth="1"/>
  </cols>
  <sheetData>
    <row r="1" spans="1:13" ht="18.75" x14ac:dyDescent="0.3">
      <c r="B1" s="304" t="s">
        <v>193</v>
      </c>
      <c r="C1" s="304"/>
      <c r="D1" s="304"/>
      <c r="E1" s="304"/>
      <c r="F1" s="304"/>
      <c r="G1" s="304"/>
      <c r="H1" s="304"/>
      <c r="I1" s="304"/>
      <c r="J1" s="304"/>
      <c r="K1" s="304"/>
    </row>
    <row r="3" spans="1:13" x14ac:dyDescent="0.25">
      <c r="E3" s="5" t="s">
        <v>10</v>
      </c>
      <c r="F3" s="6">
        <v>0</v>
      </c>
      <c r="G3" s="6">
        <f>+F3+1</f>
        <v>1</v>
      </c>
      <c r="H3" s="6" t="s">
        <v>203</v>
      </c>
      <c r="I3" s="6" t="s">
        <v>138</v>
      </c>
      <c r="J3" s="6" t="s">
        <v>139</v>
      </c>
      <c r="K3" s="6" t="s">
        <v>202</v>
      </c>
    </row>
    <row r="4" spans="1:13" ht="39.6" customHeight="1" thickBot="1" x14ac:dyDescent="0.3">
      <c r="E4" s="306" t="str">
        <f>+LEAME!B19</f>
        <v>Programa Marco estratégico para elaborar uma agenda regional de proteção  dos  povos indígenas em isolamento voluntário e contato inicial (1ra fase BID).</v>
      </c>
      <c r="F4" s="307" t="s">
        <v>204</v>
      </c>
      <c r="G4" s="307" t="s">
        <v>197</v>
      </c>
      <c r="H4" s="307" t="s">
        <v>140</v>
      </c>
      <c r="I4" s="307" t="s">
        <v>141</v>
      </c>
      <c r="J4" s="307" t="s">
        <v>304</v>
      </c>
      <c r="K4" s="307">
        <v>5</v>
      </c>
    </row>
    <row r="5" spans="1:13" ht="30" x14ac:dyDescent="0.25">
      <c r="B5" s="89" t="s">
        <v>0</v>
      </c>
      <c r="C5" s="110" t="s">
        <v>205</v>
      </c>
      <c r="D5" s="110" t="s">
        <v>206</v>
      </c>
      <c r="E5" s="306"/>
      <c r="F5" s="307"/>
      <c r="G5" s="307"/>
      <c r="H5" s="307"/>
      <c r="I5" s="307"/>
      <c r="J5" s="307"/>
      <c r="K5" s="307"/>
    </row>
    <row r="6" spans="1:13" ht="67.900000000000006" customHeight="1" x14ac:dyDescent="0.25">
      <c r="A6" s="111">
        <v>1</v>
      </c>
      <c r="B6" s="92" t="s">
        <v>79</v>
      </c>
      <c r="C6" s="112" t="s">
        <v>94</v>
      </c>
      <c r="D6" s="112"/>
      <c r="E6" s="113">
        <v>1</v>
      </c>
      <c r="F6" s="305" t="s">
        <v>174</v>
      </c>
      <c r="G6" s="305"/>
      <c r="H6" s="308"/>
      <c r="I6" s="308"/>
      <c r="J6" s="308"/>
      <c r="K6" s="308"/>
      <c r="M6" t="s">
        <v>207</v>
      </c>
    </row>
    <row r="7" spans="1:13" ht="67.900000000000006" customHeight="1" x14ac:dyDescent="0.25">
      <c r="A7" s="111">
        <f>+A6+1</f>
        <v>2</v>
      </c>
      <c r="B7" s="92" t="s">
        <v>80</v>
      </c>
      <c r="C7" s="112" t="s">
        <v>94</v>
      </c>
      <c r="D7" s="112"/>
      <c r="E7" s="113">
        <v>1</v>
      </c>
      <c r="F7" s="305" t="s">
        <v>175</v>
      </c>
      <c r="G7" s="305"/>
      <c r="H7" s="305"/>
      <c r="I7" s="305"/>
      <c r="J7" s="305"/>
      <c r="K7" s="305"/>
    </row>
    <row r="8" spans="1:13" ht="67.900000000000006" customHeight="1" x14ac:dyDescent="0.25">
      <c r="A8" s="111">
        <f t="shared" ref="A8:A22" si="0">+A7+1</f>
        <v>3</v>
      </c>
      <c r="B8" s="92" t="s">
        <v>78</v>
      </c>
      <c r="C8" s="112" t="s">
        <v>94</v>
      </c>
      <c r="D8" s="112"/>
      <c r="E8" s="113">
        <v>1</v>
      </c>
      <c r="F8" s="305" t="s">
        <v>208</v>
      </c>
      <c r="G8" s="305"/>
      <c r="H8" s="305"/>
      <c r="I8" s="305"/>
      <c r="J8" s="305"/>
      <c r="K8" s="305"/>
      <c r="M8" t="s">
        <v>138</v>
      </c>
    </row>
    <row r="9" spans="1:13" ht="67.900000000000006" customHeight="1" x14ac:dyDescent="0.25">
      <c r="A9" s="111">
        <f t="shared" si="0"/>
        <v>4</v>
      </c>
      <c r="B9" s="92" t="s">
        <v>209</v>
      </c>
      <c r="C9" s="112" t="s">
        <v>94</v>
      </c>
      <c r="D9" s="112"/>
      <c r="E9" s="113">
        <v>1</v>
      </c>
      <c r="F9" s="305" t="s">
        <v>176</v>
      </c>
      <c r="G9" s="305"/>
      <c r="H9" s="305"/>
      <c r="I9" s="305"/>
      <c r="J9" s="305"/>
      <c r="K9" s="305"/>
    </row>
    <row r="10" spans="1:13" ht="67.900000000000006" customHeight="1" x14ac:dyDescent="0.25">
      <c r="A10" s="111">
        <f t="shared" si="0"/>
        <v>5</v>
      </c>
      <c r="B10" s="92" t="s">
        <v>117</v>
      </c>
      <c r="C10" s="112" t="s">
        <v>94</v>
      </c>
      <c r="D10" s="112"/>
      <c r="E10" s="113">
        <v>1</v>
      </c>
      <c r="F10" s="305" t="s">
        <v>177</v>
      </c>
      <c r="G10" s="305"/>
      <c r="H10" s="305"/>
      <c r="I10" s="305"/>
      <c r="J10" s="305"/>
      <c r="K10" s="305"/>
    </row>
    <row r="11" spans="1:13" ht="67.900000000000006" customHeight="1" x14ac:dyDescent="0.25">
      <c r="A11" s="111">
        <f t="shared" si="0"/>
        <v>6</v>
      </c>
      <c r="B11" s="92" t="s">
        <v>210</v>
      </c>
      <c r="C11" s="112" t="s">
        <v>94</v>
      </c>
      <c r="D11" s="112"/>
      <c r="E11" s="113">
        <v>0</v>
      </c>
      <c r="F11" s="305" t="s">
        <v>178</v>
      </c>
      <c r="G11" s="305"/>
      <c r="H11" s="305"/>
      <c r="I11" s="305"/>
      <c r="J11" s="305"/>
      <c r="K11" s="305"/>
      <c r="M11" t="s">
        <v>139</v>
      </c>
    </row>
    <row r="12" spans="1:13" ht="67.900000000000006" customHeight="1" x14ac:dyDescent="0.25">
      <c r="A12" s="111">
        <f t="shared" si="0"/>
        <v>7</v>
      </c>
      <c r="B12" s="92" t="s">
        <v>211</v>
      </c>
      <c r="C12" s="112" t="s">
        <v>94</v>
      </c>
      <c r="D12" s="112" t="s">
        <v>94</v>
      </c>
      <c r="E12" s="113">
        <v>0</v>
      </c>
      <c r="F12" s="305" t="s">
        <v>179</v>
      </c>
      <c r="G12" s="305"/>
      <c r="H12" s="305"/>
      <c r="I12" s="305"/>
      <c r="J12" s="305"/>
      <c r="K12" s="305"/>
    </row>
    <row r="13" spans="1:13" ht="67.900000000000006" customHeight="1" x14ac:dyDescent="0.25">
      <c r="A13" s="111">
        <f t="shared" si="0"/>
        <v>8</v>
      </c>
      <c r="B13" s="92" t="s">
        <v>181</v>
      </c>
      <c r="C13" s="112" t="s">
        <v>94</v>
      </c>
      <c r="D13" s="112"/>
      <c r="E13" s="113">
        <v>0</v>
      </c>
      <c r="F13" s="305" t="s">
        <v>180</v>
      </c>
      <c r="G13" s="305"/>
      <c r="H13" s="305"/>
      <c r="I13" s="305"/>
      <c r="J13" s="305"/>
      <c r="K13" s="305"/>
      <c r="M13" t="s">
        <v>142</v>
      </c>
    </row>
    <row r="14" spans="1:13" ht="67.900000000000006" customHeight="1" x14ac:dyDescent="0.25">
      <c r="A14" s="111">
        <f t="shared" si="0"/>
        <v>9</v>
      </c>
      <c r="B14" s="92" t="s">
        <v>212</v>
      </c>
      <c r="C14" s="112" t="s">
        <v>94</v>
      </c>
      <c r="D14" s="112" t="s">
        <v>94</v>
      </c>
      <c r="E14" s="113">
        <v>0</v>
      </c>
      <c r="F14" s="305" t="s">
        <v>182</v>
      </c>
      <c r="G14" s="305"/>
      <c r="H14" s="305"/>
      <c r="I14" s="305"/>
      <c r="J14" s="305"/>
      <c r="K14" s="305"/>
    </row>
    <row r="15" spans="1:13" ht="67.900000000000006" customHeight="1" x14ac:dyDescent="0.25">
      <c r="A15" s="111">
        <f t="shared" si="0"/>
        <v>10</v>
      </c>
      <c r="B15" s="92" t="s">
        <v>83</v>
      </c>
      <c r="C15" s="112" t="s">
        <v>94</v>
      </c>
      <c r="D15" s="112"/>
      <c r="E15" s="113">
        <v>1</v>
      </c>
      <c r="F15" s="305" t="s">
        <v>183</v>
      </c>
      <c r="G15" s="305"/>
      <c r="H15" s="305"/>
      <c r="I15" s="305"/>
      <c r="J15" s="305"/>
      <c r="K15" s="305"/>
    </row>
    <row r="16" spans="1:13" ht="67.900000000000006" customHeight="1" x14ac:dyDescent="0.25">
      <c r="A16" s="111">
        <f t="shared" si="0"/>
        <v>11</v>
      </c>
      <c r="B16" s="92" t="s">
        <v>184</v>
      </c>
      <c r="C16" s="112" t="s">
        <v>94</v>
      </c>
      <c r="D16" s="112"/>
      <c r="E16" s="113">
        <v>0</v>
      </c>
      <c r="F16" s="305" t="s">
        <v>185</v>
      </c>
      <c r="G16" s="305"/>
      <c r="H16" s="305"/>
      <c r="I16" s="305"/>
      <c r="J16" s="305"/>
      <c r="K16" s="305"/>
    </row>
    <row r="17" spans="1:11" ht="67.900000000000006" customHeight="1" x14ac:dyDescent="0.25">
      <c r="A17" s="111">
        <f t="shared" si="0"/>
        <v>12</v>
      </c>
      <c r="B17" s="92" t="s">
        <v>213</v>
      </c>
      <c r="C17" s="112" t="s">
        <v>94</v>
      </c>
      <c r="D17" s="112"/>
      <c r="E17" s="113">
        <v>0</v>
      </c>
      <c r="F17" s="305" t="s">
        <v>214</v>
      </c>
      <c r="G17" s="305"/>
      <c r="H17" s="305"/>
      <c r="I17" s="305"/>
      <c r="J17" s="305"/>
      <c r="K17" s="305"/>
    </row>
    <row r="18" spans="1:11" ht="67.900000000000006" customHeight="1" x14ac:dyDescent="0.25">
      <c r="A18" s="111">
        <f t="shared" si="0"/>
        <v>13</v>
      </c>
      <c r="B18" s="92" t="s">
        <v>215</v>
      </c>
      <c r="C18" s="112" t="s">
        <v>94</v>
      </c>
      <c r="D18" s="112" t="s">
        <v>94</v>
      </c>
      <c r="E18" s="113">
        <v>1</v>
      </c>
      <c r="F18" s="305" t="s">
        <v>216</v>
      </c>
      <c r="G18" s="305"/>
      <c r="H18" s="305"/>
      <c r="I18" s="305"/>
      <c r="J18" s="305"/>
      <c r="K18" s="305"/>
    </row>
    <row r="19" spans="1:11" ht="67.900000000000006" customHeight="1" x14ac:dyDescent="0.25">
      <c r="A19" s="111">
        <f t="shared" si="0"/>
        <v>14</v>
      </c>
      <c r="B19" s="92" t="s">
        <v>89</v>
      </c>
      <c r="C19" s="112" t="s">
        <v>94</v>
      </c>
      <c r="D19" s="112"/>
      <c r="E19" s="113">
        <v>0</v>
      </c>
      <c r="F19" s="305" t="s">
        <v>186</v>
      </c>
      <c r="G19" s="305"/>
      <c r="H19" s="305"/>
      <c r="I19" s="305"/>
      <c r="J19" s="305"/>
      <c r="K19" s="305"/>
    </row>
    <row r="20" spans="1:11" ht="67.900000000000006" customHeight="1" x14ac:dyDescent="0.25">
      <c r="A20" s="111">
        <f t="shared" si="0"/>
        <v>15</v>
      </c>
      <c r="B20" s="92" t="s">
        <v>187</v>
      </c>
      <c r="C20" s="112"/>
      <c r="D20" s="112" t="s">
        <v>94</v>
      </c>
      <c r="E20" s="113">
        <v>1</v>
      </c>
      <c r="F20" s="305" t="s">
        <v>188</v>
      </c>
      <c r="G20" s="305"/>
      <c r="H20" s="305"/>
      <c r="I20" s="305"/>
      <c r="J20" s="305"/>
      <c r="K20" s="305"/>
    </row>
    <row r="21" spans="1:11" ht="67.900000000000006" customHeight="1" x14ac:dyDescent="0.25">
      <c r="A21" s="111">
        <f t="shared" si="0"/>
        <v>16</v>
      </c>
      <c r="B21" s="92" t="s">
        <v>189</v>
      </c>
      <c r="C21" s="112" t="s">
        <v>94</v>
      </c>
      <c r="D21" s="112"/>
      <c r="E21" s="113">
        <v>1</v>
      </c>
      <c r="F21" s="305" t="s">
        <v>190</v>
      </c>
      <c r="G21" s="305"/>
      <c r="H21" s="305"/>
      <c r="I21" s="305"/>
      <c r="J21" s="305"/>
      <c r="K21" s="305"/>
    </row>
    <row r="22" spans="1:11" ht="67.900000000000006" customHeight="1" x14ac:dyDescent="0.25">
      <c r="A22" s="111">
        <f t="shared" si="0"/>
        <v>17</v>
      </c>
      <c r="B22" s="92" t="s">
        <v>191</v>
      </c>
      <c r="C22" s="112" t="s">
        <v>94</v>
      </c>
      <c r="D22" s="112"/>
      <c r="E22" s="113">
        <v>0</v>
      </c>
      <c r="F22" s="305" t="s">
        <v>192</v>
      </c>
      <c r="G22" s="305"/>
      <c r="H22" s="305"/>
      <c r="I22" s="305"/>
      <c r="J22" s="305"/>
      <c r="K22" s="305"/>
    </row>
  </sheetData>
  <mergeCells count="25">
    <mergeCell ref="F22:K22"/>
    <mergeCell ref="F14:K14"/>
    <mergeCell ref="F15:K15"/>
    <mergeCell ref="F16:K16"/>
    <mergeCell ref="F4:F5"/>
    <mergeCell ref="K4:K5"/>
    <mergeCell ref="F6:K6"/>
    <mergeCell ref="F7:K7"/>
    <mergeCell ref="F8:K8"/>
    <mergeCell ref="F13:K13"/>
    <mergeCell ref="F17:K17"/>
    <mergeCell ref="F18:K18"/>
    <mergeCell ref="F19:K19"/>
    <mergeCell ref="F20:K20"/>
    <mergeCell ref="F21:K21"/>
    <mergeCell ref="B1:K1"/>
    <mergeCell ref="F9:K9"/>
    <mergeCell ref="F10:K10"/>
    <mergeCell ref="F11:K11"/>
    <mergeCell ref="F12:K12"/>
    <mergeCell ref="E4:E5"/>
    <mergeCell ref="G4:G5"/>
    <mergeCell ref="H4:H5"/>
    <mergeCell ref="I4:I5"/>
    <mergeCell ref="J4:J5"/>
  </mergeCells>
  <dataValidations count="1">
    <dataValidation type="whole" allowBlank="1" showInputMessage="1" showErrorMessage="1" sqref="E6:E22" xr:uid="{7D57EB34-6F41-424F-8FEB-1815C4A4BFB9}">
      <formula1>0</formula1>
      <formula2>1</formula2>
    </dataValidation>
  </dataValidations>
  <pageMargins left="0.7" right="0.7" top="0.75" bottom="0.75" header="0.3" footer="0.3"/>
  <pageSetup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BF30A-9E68-4AD5-BA78-E5ABAD53EE98}">
  <dimension ref="B1:G42"/>
  <sheetViews>
    <sheetView topLeftCell="A24" workbookViewId="0">
      <selection activeCell="G41" sqref="G41"/>
    </sheetView>
  </sheetViews>
  <sheetFormatPr baseColWidth="10" defaultRowHeight="15" x14ac:dyDescent="0.25"/>
  <cols>
    <col min="1" max="1" width="3.42578125" customWidth="1"/>
    <col min="2" max="2" width="21.5703125" customWidth="1"/>
    <col min="3" max="3" width="11.42578125" style="3"/>
    <col min="4" max="4" width="23.42578125" customWidth="1"/>
    <col min="5" max="5" width="33.85546875" customWidth="1"/>
    <col min="6" max="6" width="25.7109375" customWidth="1"/>
    <col min="7" max="7" width="33.140625" customWidth="1"/>
  </cols>
  <sheetData>
    <row r="1" spans="2:7" ht="15.75" thickBot="1" x14ac:dyDescent="0.3">
      <c r="G1" s="20" t="s">
        <v>10</v>
      </c>
    </row>
    <row r="2" spans="2:7" ht="15.75" thickBot="1" x14ac:dyDescent="0.3">
      <c r="B2" s="311" t="s">
        <v>28</v>
      </c>
      <c r="C2" s="296" t="s">
        <v>1</v>
      </c>
      <c r="D2" s="296" t="s">
        <v>119</v>
      </c>
      <c r="E2" s="309" t="s">
        <v>29</v>
      </c>
      <c r="F2" s="25" t="s">
        <v>30</v>
      </c>
      <c r="G2" s="295" t="str">
        <f>+LEAME!B19</f>
        <v>Programa Marco estratégico para elaborar uma agenda regional de proteção  dos  povos indígenas em isolamento voluntário e contato inicial (1ra fase BID).</v>
      </c>
    </row>
    <row r="3" spans="2:7" ht="45.75" thickBot="1" x14ac:dyDescent="0.3">
      <c r="B3" s="311"/>
      <c r="C3" s="296"/>
      <c r="D3" s="296"/>
      <c r="E3" s="309"/>
      <c r="F3" s="24" t="s">
        <v>9</v>
      </c>
      <c r="G3" s="295"/>
    </row>
    <row r="4" spans="2:7" x14ac:dyDescent="0.25">
      <c r="B4" s="302"/>
      <c r="C4" s="302">
        <v>1</v>
      </c>
      <c r="D4" s="303" t="s">
        <v>3</v>
      </c>
      <c r="E4" s="27" t="s">
        <v>31</v>
      </c>
      <c r="F4" s="29">
        <f>IF(LEAME!$C$11=1,Auxiliar!F4,IF(LEAME!$C$11=2,Auxiliar!G4,Auxiliar!H4))</f>
        <v>0.5</v>
      </c>
      <c r="G4" s="28">
        <f>+'Datos Entrada'!G4</f>
        <v>0</v>
      </c>
    </row>
    <row r="5" spans="2:7" ht="15.75" thickBot="1" x14ac:dyDescent="0.3">
      <c r="B5" s="313"/>
      <c r="C5" s="313"/>
      <c r="D5" s="310"/>
      <c r="E5" s="126" t="s">
        <v>32</v>
      </c>
      <c r="F5" s="129">
        <f>IF(LEAME!$C$11=1,Auxiliar!F5,IF(LEAME!$C$11=2,Auxiliar!G5,Auxiliar!H5))</f>
        <v>0.5</v>
      </c>
      <c r="G5" s="127">
        <f>+'Datos Entrada'!G5</f>
        <v>2</v>
      </c>
    </row>
    <row r="6" spans="2:7" x14ac:dyDescent="0.25">
      <c r="B6" s="124" t="s">
        <v>33</v>
      </c>
      <c r="C6" s="125"/>
      <c r="D6" s="124"/>
      <c r="E6" s="124"/>
      <c r="F6" s="124"/>
      <c r="G6" s="125">
        <f>SUMPRODUCT($F$4:$F$5,G4:G5)</f>
        <v>1</v>
      </c>
    </row>
    <row r="7" spans="2:7" x14ac:dyDescent="0.25">
      <c r="B7" s="114" t="s">
        <v>7</v>
      </c>
      <c r="C7" s="115"/>
      <c r="D7" s="114"/>
      <c r="E7" s="114"/>
      <c r="F7" s="116">
        <f>IF(LEAME!$C$11=1,Auxiliar!F7,IF(LEAME!$C$11=2,Auxiliar!G7,Auxiliar!H7))</f>
        <v>0.2</v>
      </c>
      <c r="G7" s="115"/>
    </row>
    <row r="8" spans="2:7" x14ac:dyDescent="0.25">
      <c r="B8" s="120" t="s">
        <v>8</v>
      </c>
      <c r="C8" s="121"/>
      <c r="D8" s="120"/>
      <c r="E8" s="120"/>
      <c r="F8" s="120"/>
      <c r="G8" s="121">
        <f>$F$7*G6</f>
        <v>0.2</v>
      </c>
    </row>
    <row r="9" spans="2:7" ht="45" x14ac:dyDescent="0.25">
      <c r="B9" s="35"/>
      <c r="C9" s="36">
        <v>2</v>
      </c>
      <c r="D9" s="297" t="s">
        <v>4</v>
      </c>
      <c r="E9" s="41" t="s">
        <v>120</v>
      </c>
      <c r="F9" s="38">
        <f>IF(LEAME!$C$11=1,Auxiliar!F9,IF(LEAME!$C$11=2,Auxiliar!G9,Auxiliar!H9))</f>
        <v>0.2</v>
      </c>
      <c r="G9" s="36">
        <f>+'Datos Entrada'!G7</f>
        <v>0</v>
      </c>
    </row>
    <row r="10" spans="2:7" ht="45" x14ac:dyDescent="0.25">
      <c r="B10" s="39"/>
      <c r="C10" s="40"/>
      <c r="D10" s="298"/>
      <c r="E10" s="41" t="s">
        <v>107</v>
      </c>
      <c r="F10" s="42">
        <f>IF(LEAME!$C$11=1,Auxiliar!F10,IF(LEAME!$C$11=2,Auxiliar!G10,Auxiliar!H10))</f>
        <v>0.4</v>
      </c>
      <c r="G10" s="36">
        <f>+'Datos Entrada'!G8</f>
        <v>3</v>
      </c>
    </row>
    <row r="11" spans="2:7" ht="15.75" thickBot="1" x14ac:dyDescent="0.3">
      <c r="B11" s="132"/>
      <c r="C11" s="133"/>
      <c r="D11" s="132"/>
      <c r="E11" s="132" t="s">
        <v>108</v>
      </c>
      <c r="F11" s="134">
        <f>IF(LEAME!$C$11=1,Auxiliar!F11,IF(LEAME!$C$11=2,Auxiliar!G11,Auxiliar!H11))</f>
        <v>0.4</v>
      </c>
      <c r="G11" s="133">
        <f>+'Datos Entrada'!G9</f>
        <v>5</v>
      </c>
    </row>
    <row r="12" spans="2:7" x14ac:dyDescent="0.25">
      <c r="B12" s="130" t="s">
        <v>33</v>
      </c>
      <c r="C12" s="131"/>
      <c r="D12" s="130"/>
      <c r="E12" s="130"/>
      <c r="F12" s="131"/>
      <c r="G12" s="131">
        <f>SUMPRODUCT($F$9:$F$11,G9:G11)</f>
        <v>3.2</v>
      </c>
    </row>
    <row r="13" spans="2:7" x14ac:dyDescent="0.25">
      <c r="B13" s="117" t="s">
        <v>7</v>
      </c>
      <c r="C13" s="118"/>
      <c r="D13" s="117"/>
      <c r="E13" s="117"/>
      <c r="F13" s="119">
        <f>IF(LEAME!$C$11=1,Auxiliar!F13,IF(LEAME!$C$11=2,Auxiliar!G13,Auxiliar!H13))</f>
        <v>0.2</v>
      </c>
      <c r="G13" s="118"/>
    </row>
    <row r="14" spans="2:7" x14ac:dyDescent="0.25">
      <c r="B14" s="122" t="s">
        <v>8</v>
      </c>
      <c r="C14" s="123"/>
      <c r="D14" s="122"/>
      <c r="E14" s="122"/>
      <c r="F14" s="123"/>
      <c r="G14" s="123">
        <f>$F$13*G12</f>
        <v>0.64000000000000012</v>
      </c>
    </row>
    <row r="15" spans="2:7" ht="30" customHeight="1" x14ac:dyDescent="0.25">
      <c r="B15" s="299"/>
      <c r="C15" s="299">
        <v>3</v>
      </c>
      <c r="D15" s="300" t="s">
        <v>5</v>
      </c>
      <c r="E15" s="45" t="s">
        <v>34</v>
      </c>
      <c r="F15" s="47">
        <f>IF(LEAME!$C$11=1,Auxiliar!F15,IF(LEAME!$C$11=2,Auxiliar!G15,Auxiliar!H15))</f>
        <v>0.15</v>
      </c>
      <c r="G15" s="46">
        <f>+'Datos Entrada'!G11</f>
        <v>0</v>
      </c>
    </row>
    <row r="16" spans="2:7" x14ac:dyDescent="0.25">
      <c r="B16" s="299"/>
      <c r="C16" s="299"/>
      <c r="D16" s="301"/>
      <c r="E16" s="30" t="s">
        <v>20</v>
      </c>
      <c r="F16" s="32">
        <f>IF(LEAME!$C$11=1,Auxiliar!F16,IF(LEAME!$C$11=2,Auxiliar!G16,Auxiliar!H16))</f>
        <v>0.25</v>
      </c>
      <c r="G16" s="46">
        <f>+'Datos Entrada'!G12</f>
        <v>0</v>
      </c>
    </row>
    <row r="17" spans="2:7" x14ac:dyDescent="0.25">
      <c r="B17" s="299"/>
      <c r="C17" s="299"/>
      <c r="D17" s="301"/>
      <c r="E17" s="30" t="s">
        <v>19</v>
      </c>
      <c r="F17" s="32">
        <f>IF(LEAME!$C$11=1,Auxiliar!F17,IF(LEAME!$C$11=2,Auxiliar!G17,Auxiliar!H17))</f>
        <v>0.1</v>
      </c>
      <c r="G17" s="46">
        <f>+'Datos Entrada'!G13</f>
        <v>5</v>
      </c>
    </row>
    <row r="18" spans="2:7" x14ac:dyDescent="0.25">
      <c r="B18" s="293"/>
      <c r="C18" s="293"/>
      <c r="D18" s="301"/>
      <c r="E18" s="30" t="s">
        <v>18</v>
      </c>
      <c r="F18" s="32">
        <f>IF(LEAME!$C$11=1,Auxiliar!F18,IF(LEAME!$C$11=2,Auxiliar!G18,Auxiliar!H18))</f>
        <v>0.3</v>
      </c>
      <c r="G18" s="46">
        <f>+'Datos Entrada'!G14</f>
        <v>5</v>
      </c>
    </row>
    <row r="19" spans="2:7" ht="45.75" thickBot="1" x14ac:dyDescent="0.3">
      <c r="B19" s="126"/>
      <c r="C19" s="127"/>
      <c r="D19" s="126" t="s">
        <v>35</v>
      </c>
      <c r="E19" s="128" t="s">
        <v>21</v>
      </c>
      <c r="F19" s="129">
        <f>IF(LEAME!$C$11=1,Auxiliar!F19,IF(LEAME!$C$11=2,Auxiliar!G19,Auxiliar!H19))</f>
        <v>0.2</v>
      </c>
      <c r="G19" s="127">
        <f>+'Datos Entrada'!G15</f>
        <v>4</v>
      </c>
    </row>
    <row r="20" spans="2:7" x14ac:dyDescent="0.25">
      <c r="B20" s="124" t="s">
        <v>33</v>
      </c>
      <c r="C20" s="125"/>
      <c r="D20" s="124"/>
      <c r="E20" s="124"/>
      <c r="F20" s="124"/>
      <c r="G20" s="125">
        <f>SUMPRODUCT($F$15:$F$19,G15:G19)</f>
        <v>2.8</v>
      </c>
    </row>
    <row r="21" spans="2:7" x14ac:dyDescent="0.25">
      <c r="B21" s="114" t="s">
        <v>7</v>
      </c>
      <c r="C21" s="115"/>
      <c r="D21" s="114"/>
      <c r="E21" s="114"/>
      <c r="F21" s="116">
        <f>IF(LEAME!$C$11=1,Auxiliar!F21,IF(LEAME!$C$11=2,Auxiliar!G21,Auxiliar!H21))</f>
        <v>0.2</v>
      </c>
      <c r="G21" s="115"/>
    </row>
    <row r="22" spans="2:7" x14ac:dyDescent="0.25">
      <c r="B22" s="120" t="s">
        <v>8</v>
      </c>
      <c r="C22" s="121"/>
      <c r="D22" s="120"/>
      <c r="E22" s="120"/>
      <c r="F22" s="120"/>
      <c r="G22" s="121">
        <f>$F$21*G20</f>
        <v>0.55999999999999994</v>
      </c>
    </row>
    <row r="23" spans="2:7" ht="60" x14ac:dyDescent="0.25">
      <c r="B23" s="285"/>
      <c r="C23" s="285">
        <v>4</v>
      </c>
      <c r="D23" s="292" t="s">
        <v>36</v>
      </c>
      <c r="E23" s="96" t="str">
        <f>IF(LEAME!$C$11=1,Auxiliar!F43,IF(LEAME!$C$11=2,Auxiliar!G43,Auxiliar!H43))</f>
        <v>Alineación con las políticas nacionales (especialmente las NDC, los Programa País, Planes Nacionales de Adaptación, etc.</v>
      </c>
      <c r="F23" s="38">
        <f>IF(LEAME!$C$11=1,Auxiliar!F23,IF(LEAME!$C$11=2,Auxiliar!G23,Auxiliar!H23))</f>
        <v>0.5</v>
      </c>
      <c r="G23" s="36">
        <f>+'Datos Entrada'!G17</f>
        <v>5</v>
      </c>
    </row>
    <row r="24" spans="2:7" ht="30.75" thickBot="1" x14ac:dyDescent="0.3">
      <c r="B24" s="312"/>
      <c r="C24" s="312"/>
      <c r="D24" s="315"/>
      <c r="E24" s="136" t="str">
        <f>IF(LEAME!$C$11=1,Auxiliar!F44,IF(LEAME!$C$11=2,Auxiliar!G44,Auxiliar!H44))</f>
        <v xml:space="preserve"> Respaldado por una variedad de partes interesadas</v>
      </c>
      <c r="F24" s="134">
        <f>IF(LEAME!$C$11=1,Auxiliar!F24,IF(LEAME!$C$11=2,Auxiliar!G24,Auxiliar!H24))</f>
        <v>0.5</v>
      </c>
      <c r="G24" s="133">
        <f>+'Datos Entrada'!G18</f>
        <v>3</v>
      </c>
    </row>
    <row r="25" spans="2:7" x14ac:dyDescent="0.25">
      <c r="B25" s="130" t="s">
        <v>33</v>
      </c>
      <c r="C25" s="131"/>
      <c r="D25" s="130"/>
      <c r="E25" s="137"/>
      <c r="F25" s="138"/>
      <c r="G25" s="131">
        <f>SUMPRODUCT($F$23:$F$24,G23:G24)</f>
        <v>4</v>
      </c>
    </row>
    <row r="26" spans="2:7" x14ac:dyDescent="0.25">
      <c r="B26" s="117" t="s">
        <v>7</v>
      </c>
      <c r="C26" s="118"/>
      <c r="D26" s="117"/>
      <c r="E26" s="117"/>
      <c r="F26" s="119">
        <f>IF(LEAME!$C$11=1,Auxiliar!F26,IF(LEAME!$C$11=2,Auxiliar!G26,Auxiliar!H26))</f>
        <v>0.1</v>
      </c>
      <c r="G26" s="118"/>
    </row>
    <row r="27" spans="2:7" x14ac:dyDescent="0.25">
      <c r="B27" s="122" t="s">
        <v>8</v>
      </c>
      <c r="C27" s="123"/>
      <c r="D27" s="122"/>
      <c r="E27" s="122"/>
      <c r="F27" s="122"/>
      <c r="G27" s="123">
        <f>$F$26*G25</f>
        <v>0.4</v>
      </c>
    </row>
    <row r="28" spans="2:7" ht="30" x14ac:dyDescent="0.25">
      <c r="B28" s="293"/>
      <c r="C28" s="293">
        <v>5</v>
      </c>
      <c r="D28" s="293" t="s">
        <v>38</v>
      </c>
      <c r="E28" s="49" t="s">
        <v>39</v>
      </c>
      <c r="F28" s="47">
        <f>IF(LEAME!$C$11=1,Auxiliar!F28,IF(LEAME!$C$11=2,Auxiliar!G28,Auxiliar!H28))</f>
        <v>0.1</v>
      </c>
      <c r="G28" s="46">
        <f>+'Datos Entrada'!G20</f>
        <v>5</v>
      </c>
    </row>
    <row r="29" spans="2:7" x14ac:dyDescent="0.25">
      <c r="B29" s="294"/>
      <c r="C29" s="294"/>
      <c r="D29" s="294"/>
      <c r="E29" s="30" t="s">
        <v>22</v>
      </c>
      <c r="F29" s="32">
        <f>IF(LEAME!$C$11=1,Auxiliar!F29,IF(LEAME!$C$11=2,Auxiliar!G29,Auxiliar!H29))</f>
        <v>0.3</v>
      </c>
      <c r="G29" s="46">
        <f>+'Datos Entrada'!G21</f>
        <v>3</v>
      </c>
    </row>
    <row r="30" spans="2:7" ht="45.75" thickBot="1" x14ac:dyDescent="0.3">
      <c r="B30" s="314"/>
      <c r="C30" s="314"/>
      <c r="D30" s="314"/>
      <c r="E30" s="128" t="s">
        <v>110</v>
      </c>
      <c r="F30" s="129">
        <f>IF(LEAME!$C$11=1,Auxiliar!F30,IF(LEAME!$C$11=2,Auxiliar!G30,Auxiliar!H30))</f>
        <v>0.6</v>
      </c>
      <c r="G30" s="135">
        <f>+'Datos Entrada'!G22</f>
        <v>4</v>
      </c>
    </row>
    <row r="31" spans="2:7" x14ac:dyDescent="0.25">
      <c r="B31" s="124" t="s">
        <v>33</v>
      </c>
      <c r="C31" s="125"/>
      <c r="D31" s="124"/>
      <c r="E31" s="124"/>
      <c r="F31" s="125"/>
      <c r="G31" s="125">
        <f>SUMPRODUCT($F$28:$F$30,G28:G30)</f>
        <v>3.8</v>
      </c>
    </row>
    <row r="32" spans="2:7" x14ac:dyDescent="0.25">
      <c r="B32" s="114" t="s">
        <v>7</v>
      </c>
      <c r="C32" s="115"/>
      <c r="D32" s="114"/>
      <c r="E32" s="114"/>
      <c r="F32" s="116">
        <f>IF(LEAME!$C$11=1,Auxiliar!F32,IF(LEAME!$C$11=2,Auxiliar!G32,Auxiliar!H32))</f>
        <v>0.2</v>
      </c>
      <c r="G32" s="115"/>
    </row>
    <row r="33" spans="2:7" x14ac:dyDescent="0.25">
      <c r="B33" s="120" t="s">
        <v>8</v>
      </c>
      <c r="C33" s="121"/>
      <c r="D33" s="120"/>
      <c r="E33" s="120"/>
      <c r="F33" s="121"/>
      <c r="G33" s="121">
        <f>$F$32*G31</f>
        <v>0.76</v>
      </c>
    </row>
    <row r="34" spans="2:7" ht="30" x14ac:dyDescent="0.25">
      <c r="B34" s="285"/>
      <c r="C34" s="285">
        <v>6</v>
      </c>
      <c r="D34" s="285" t="s">
        <v>6</v>
      </c>
      <c r="E34" s="37" t="s">
        <v>25</v>
      </c>
      <c r="F34" s="38">
        <f>IF(LEAME!$C$11=1,Auxiliar!F34,IF(LEAME!$C$11=2,Auxiliar!G34,Auxiliar!H34))</f>
        <v>0.15</v>
      </c>
      <c r="G34" s="36">
        <f>+'Datos Entrada'!G24</f>
        <v>0</v>
      </c>
    </row>
    <row r="35" spans="2:7" ht="30" x14ac:dyDescent="0.25">
      <c r="B35" s="286"/>
      <c r="C35" s="286"/>
      <c r="D35" s="286"/>
      <c r="E35" s="41" t="s">
        <v>26</v>
      </c>
      <c r="F35" s="42">
        <f>IF(LEAME!$C$11=1,Auxiliar!F35,IF(LEAME!$C$11=2,Auxiliar!G35,Auxiliar!H35))</f>
        <v>0.35</v>
      </c>
      <c r="G35" s="36">
        <f>+'Datos Entrada'!G25</f>
        <v>3</v>
      </c>
    </row>
    <row r="36" spans="2:7" ht="30" x14ac:dyDescent="0.25">
      <c r="B36" s="286"/>
      <c r="C36" s="286"/>
      <c r="D36" s="286"/>
      <c r="E36" s="41" t="s">
        <v>23</v>
      </c>
      <c r="F36" s="42">
        <f>IF(LEAME!$C$11=1,Auxiliar!F36,IF(LEAME!$C$11=2,Auxiliar!G36,Auxiliar!H36))</f>
        <v>0.15</v>
      </c>
      <c r="G36" s="36">
        <f>+'Datos Entrada'!G26</f>
        <v>0</v>
      </c>
    </row>
    <row r="37" spans="2:7" ht="15.75" thickBot="1" x14ac:dyDescent="0.3">
      <c r="B37" s="312"/>
      <c r="C37" s="312"/>
      <c r="D37" s="132"/>
      <c r="E37" s="139" t="s">
        <v>24</v>
      </c>
      <c r="F37" s="134">
        <f>IF(LEAME!$C$11=1,Auxiliar!F37,IF(LEAME!$C$11=2,Auxiliar!G37,Auxiliar!H37))</f>
        <v>0.35</v>
      </c>
      <c r="G37" s="140">
        <f>+'Datos Entrada'!G27</f>
        <v>2</v>
      </c>
    </row>
    <row r="38" spans="2:7" x14ac:dyDescent="0.25">
      <c r="B38" s="130" t="s">
        <v>33</v>
      </c>
      <c r="C38" s="131"/>
      <c r="D38" s="130"/>
      <c r="E38" s="130"/>
      <c r="F38" s="130"/>
      <c r="G38" s="131">
        <f>SUMPRODUCT($F$34:$F$37,G34:G37)</f>
        <v>1.7499999999999998</v>
      </c>
    </row>
    <row r="39" spans="2:7" x14ac:dyDescent="0.25">
      <c r="B39" s="117" t="s">
        <v>7</v>
      </c>
      <c r="C39" s="118"/>
      <c r="D39" s="117"/>
      <c r="E39" s="117"/>
      <c r="F39" s="119">
        <f>IF(LEAME!$C$11=1,Auxiliar!F39,IF(LEAME!$C$11=2,Auxiliar!G39,Auxiliar!H39))</f>
        <v>0.10000000000000009</v>
      </c>
      <c r="G39" s="118"/>
    </row>
    <row r="40" spans="2:7" x14ac:dyDescent="0.25">
      <c r="B40" s="141" t="s">
        <v>8</v>
      </c>
      <c r="C40" s="142"/>
      <c r="D40" s="141"/>
      <c r="E40" s="141"/>
      <c r="F40" s="141"/>
      <c r="G40" s="142">
        <f>$F$39*G38</f>
        <v>0.17500000000000013</v>
      </c>
    </row>
    <row r="41" spans="2:7" ht="15.75" thickBot="1" x14ac:dyDescent="0.3">
      <c r="B41" s="22"/>
      <c r="C41" s="26"/>
      <c r="D41" s="22" t="s">
        <v>27</v>
      </c>
      <c r="E41" s="22"/>
      <c r="F41" s="26" t="s">
        <v>40</v>
      </c>
      <c r="G41" s="23">
        <f>+G8+G14+G22+G27+G33+G40</f>
        <v>2.7349999999999999</v>
      </c>
    </row>
    <row r="42" spans="2:7" ht="15.75" thickTop="1" x14ac:dyDescent="0.25"/>
  </sheetData>
  <mergeCells count="21">
    <mergeCell ref="C28:C30"/>
    <mergeCell ref="B28:B30"/>
    <mergeCell ref="C34:C37"/>
    <mergeCell ref="B34:B37"/>
    <mergeCell ref="D23:D24"/>
    <mergeCell ref="D28:D30"/>
    <mergeCell ref="D34:D36"/>
    <mergeCell ref="B2:B3"/>
    <mergeCell ref="B23:B24"/>
    <mergeCell ref="B15:B18"/>
    <mergeCell ref="C15:C18"/>
    <mergeCell ref="C4:C5"/>
    <mergeCell ref="B4:B5"/>
    <mergeCell ref="C23:C24"/>
    <mergeCell ref="D15:D18"/>
    <mergeCell ref="E2:E3"/>
    <mergeCell ref="C2:C3"/>
    <mergeCell ref="D2:D3"/>
    <mergeCell ref="G2:G3"/>
    <mergeCell ref="D9:D10"/>
    <mergeCell ref="D4:D5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CD70A-38C0-49E8-BF45-7C48A77862BC}">
  <dimension ref="A1:E32"/>
  <sheetViews>
    <sheetView workbookViewId="0"/>
  </sheetViews>
  <sheetFormatPr baseColWidth="10" defaultRowHeight="15" x14ac:dyDescent="0.25"/>
  <cols>
    <col min="1" max="1" width="11.42578125" style="14"/>
    <col min="2" max="2" width="43.28515625" customWidth="1"/>
    <col min="3" max="4" width="12.7109375" style="3" customWidth="1"/>
    <col min="5" max="5" width="18.28515625" customWidth="1"/>
  </cols>
  <sheetData>
    <row r="1" spans="1:5" ht="18.75" x14ac:dyDescent="0.3">
      <c r="B1" s="109" t="s">
        <v>115</v>
      </c>
      <c r="C1" s="109"/>
      <c r="D1" s="109"/>
      <c r="E1" s="109"/>
    </row>
    <row r="3" spans="1:5" x14ac:dyDescent="0.25">
      <c r="E3" s="5" t="s">
        <v>10</v>
      </c>
    </row>
    <row r="4" spans="1:5" ht="52.15" customHeight="1" thickBot="1" x14ac:dyDescent="0.3">
      <c r="E4" s="11" t="str">
        <f>+LEAME!B19</f>
        <v>Programa Marco estratégico para elaborar uma agenda regional de proteção  dos  povos indígenas em isolamento voluntário e contato inicial (1ra fase BID).</v>
      </c>
    </row>
    <row r="5" spans="1:5" ht="15.75" thickBot="1" x14ac:dyDescent="0.3">
      <c r="B5" s="83" t="s">
        <v>0</v>
      </c>
      <c r="C5" s="84" t="s">
        <v>93</v>
      </c>
      <c r="D5" s="84" t="s">
        <v>12</v>
      </c>
      <c r="E5" s="85" t="s">
        <v>199</v>
      </c>
    </row>
    <row r="6" spans="1:5" x14ac:dyDescent="0.25">
      <c r="A6" s="14">
        <v>1</v>
      </c>
      <c r="B6" s="82" t="s">
        <v>79</v>
      </c>
      <c r="C6" s="4" t="s">
        <v>94</v>
      </c>
      <c r="D6" s="4"/>
      <c r="E6" s="4">
        <f>IF('ODS Analisis'!E6&gt;0,1,0)</f>
        <v>1</v>
      </c>
    </row>
    <row r="7" spans="1:5" x14ac:dyDescent="0.25">
      <c r="A7" s="14">
        <f>+A6+1</f>
        <v>2</v>
      </c>
      <c r="B7" s="82" t="s">
        <v>80</v>
      </c>
      <c r="C7" s="4" t="s">
        <v>94</v>
      </c>
      <c r="D7" s="4"/>
      <c r="E7" s="4">
        <f>IF('ODS Analisis'!E7&gt;0,1,0)</f>
        <v>1</v>
      </c>
    </row>
    <row r="8" spans="1:5" x14ac:dyDescent="0.25">
      <c r="A8" s="14">
        <f t="shared" ref="A8:A22" si="0">+A7+1</f>
        <v>3</v>
      </c>
      <c r="B8" s="82" t="s">
        <v>78</v>
      </c>
      <c r="C8" s="4" t="s">
        <v>94</v>
      </c>
      <c r="D8" s="4"/>
      <c r="E8" s="4">
        <f>IF('ODS Analisis'!E8&gt;0,1,0)</f>
        <v>1</v>
      </c>
    </row>
    <row r="9" spans="1:5" x14ac:dyDescent="0.25">
      <c r="A9" s="14">
        <f t="shared" si="0"/>
        <v>4</v>
      </c>
      <c r="B9" s="82" t="s">
        <v>118</v>
      </c>
      <c r="C9" s="4" t="s">
        <v>94</v>
      </c>
      <c r="D9" s="4"/>
      <c r="E9" s="4">
        <f>IF('ODS Analisis'!E9&gt;0,1,0)</f>
        <v>1</v>
      </c>
    </row>
    <row r="10" spans="1:5" x14ac:dyDescent="0.25">
      <c r="A10" s="14">
        <f t="shared" si="0"/>
        <v>5</v>
      </c>
      <c r="B10" s="82" t="s">
        <v>117</v>
      </c>
      <c r="C10" s="4" t="s">
        <v>94</v>
      </c>
      <c r="D10" s="4"/>
      <c r="E10" s="4">
        <f>IF('ODS Analisis'!E10&gt;0,1,0)</f>
        <v>1</v>
      </c>
    </row>
    <row r="11" spans="1:5" x14ac:dyDescent="0.25">
      <c r="A11" s="14">
        <f t="shared" si="0"/>
        <v>6</v>
      </c>
      <c r="B11" s="82" t="s">
        <v>81</v>
      </c>
      <c r="C11" s="4" t="s">
        <v>94</v>
      </c>
      <c r="D11" s="4"/>
      <c r="E11" s="86">
        <f>IF('ODS Analisis'!E11&gt;0,1,0)</f>
        <v>0</v>
      </c>
    </row>
    <row r="12" spans="1:5" x14ac:dyDescent="0.25">
      <c r="A12" s="14">
        <f t="shared" si="0"/>
        <v>7</v>
      </c>
      <c r="B12" s="82" t="s">
        <v>82</v>
      </c>
      <c r="C12" s="4" t="s">
        <v>94</v>
      </c>
      <c r="D12" s="4"/>
      <c r="E12" s="4">
        <f>IF('ODS Analisis'!E12&gt;0,1,0)</f>
        <v>0</v>
      </c>
    </row>
    <row r="13" spans="1:5" ht="30" x14ac:dyDescent="0.25">
      <c r="A13" s="14">
        <f t="shared" si="0"/>
        <v>8</v>
      </c>
      <c r="B13" s="82" t="s">
        <v>85</v>
      </c>
      <c r="C13" s="4" t="s">
        <v>94</v>
      </c>
      <c r="D13" s="4"/>
      <c r="E13" s="4">
        <f>IF('ODS Analisis'!E13&gt;0,1,0)</f>
        <v>0</v>
      </c>
    </row>
    <row r="14" spans="1:5" ht="30" x14ac:dyDescent="0.25">
      <c r="A14" s="14">
        <f t="shared" si="0"/>
        <v>9</v>
      </c>
      <c r="B14" s="82" t="s">
        <v>86</v>
      </c>
      <c r="C14" s="4"/>
      <c r="D14" s="4" t="s">
        <v>94</v>
      </c>
      <c r="E14" s="4">
        <f>IF('ODS Analisis'!E14&gt;0,1,0)</f>
        <v>0</v>
      </c>
    </row>
    <row r="15" spans="1:5" x14ac:dyDescent="0.25">
      <c r="A15" s="14">
        <f t="shared" si="0"/>
        <v>10</v>
      </c>
      <c r="B15" s="82" t="s">
        <v>83</v>
      </c>
      <c r="C15" s="4" t="s">
        <v>94</v>
      </c>
      <c r="D15" s="4"/>
      <c r="E15" s="86">
        <f>IF('ODS Analisis'!E15&gt;0,1,0)</f>
        <v>1</v>
      </c>
    </row>
    <row r="16" spans="1:5" ht="30" x14ac:dyDescent="0.25">
      <c r="A16" s="14">
        <f t="shared" si="0"/>
        <v>11</v>
      </c>
      <c r="B16" s="82" t="s">
        <v>87</v>
      </c>
      <c r="C16" s="4" t="s">
        <v>94</v>
      </c>
      <c r="D16" s="4"/>
      <c r="E16" s="4">
        <f>IF('ODS Analisis'!E16&gt;0,1,0)</f>
        <v>0</v>
      </c>
    </row>
    <row r="17" spans="1:5" ht="30" x14ac:dyDescent="0.25">
      <c r="A17" s="14">
        <f t="shared" si="0"/>
        <v>12</v>
      </c>
      <c r="B17" s="82" t="s">
        <v>84</v>
      </c>
      <c r="C17" s="4" t="s">
        <v>94</v>
      </c>
      <c r="D17" s="4"/>
      <c r="E17" s="4">
        <f>IF('ODS Analisis'!E17&gt;0,1,0)</f>
        <v>0</v>
      </c>
    </row>
    <row r="18" spans="1:5" x14ac:dyDescent="0.25">
      <c r="A18" s="14">
        <f t="shared" si="0"/>
        <v>13</v>
      </c>
      <c r="B18" s="82" t="s">
        <v>88</v>
      </c>
      <c r="C18" s="4"/>
      <c r="D18" s="4" t="s">
        <v>94</v>
      </c>
      <c r="E18" s="86">
        <f>IF('ODS Analisis'!E18&gt;0,1,0)</f>
        <v>1</v>
      </c>
    </row>
    <row r="19" spans="1:5" x14ac:dyDescent="0.25">
      <c r="A19" s="14">
        <f t="shared" si="0"/>
        <v>14</v>
      </c>
      <c r="B19" s="82" t="s">
        <v>89</v>
      </c>
      <c r="C19" s="4" t="s">
        <v>94</v>
      </c>
      <c r="D19" s="4"/>
      <c r="E19" s="86">
        <f>IF('ODS Analisis'!E19&gt;0,1,0)</f>
        <v>0</v>
      </c>
    </row>
    <row r="20" spans="1:5" ht="30" x14ac:dyDescent="0.25">
      <c r="A20" s="14">
        <f t="shared" si="0"/>
        <v>15</v>
      </c>
      <c r="B20" s="82" t="s">
        <v>90</v>
      </c>
      <c r="C20" s="4"/>
      <c r="D20" s="4" t="s">
        <v>94</v>
      </c>
      <c r="E20" s="4">
        <f>IF('ODS Analisis'!E20&gt;0,1,0)</f>
        <v>1</v>
      </c>
    </row>
    <row r="21" spans="1:5" ht="45" x14ac:dyDescent="0.25">
      <c r="A21" s="14">
        <f t="shared" si="0"/>
        <v>16</v>
      </c>
      <c r="B21" s="82" t="s">
        <v>91</v>
      </c>
      <c r="C21" s="4" t="s">
        <v>94</v>
      </c>
      <c r="D21" s="4"/>
      <c r="E21" s="86">
        <f>IF('ODS Analisis'!E21&gt;0,1,0)</f>
        <v>1</v>
      </c>
    </row>
    <row r="22" spans="1:5" ht="30" x14ac:dyDescent="0.25">
      <c r="A22" s="14">
        <f t="shared" si="0"/>
        <v>17</v>
      </c>
      <c r="B22" s="82" t="s">
        <v>92</v>
      </c>
      <c r="C22" s="4" t="s">
        <v>94</v>
      </c>
      <c r="D22" s="4"/>
      <c r="E22" s="86">
        <f>IF('ODS Analisis'!E22&gt;0,1,0)</f>
        <v>0</v>
      </c>
    </row>
    <row r="23" spans="1:5" x14ac:dyDescent="0.25">
      <c r="B23" s="82" t="s">
        <v>11</v>
      </c>
      <c r="E23" s="3">
        <f>SUM(E6:E22)</f>
        <v>9</v>
      </c>
    </row>
    <row r="24" spans="1:5" ht="15.75" thickBot="1" x14ac:dyDescent="0.3">
      <c r="B24" s="90" t="s">
        <v>116</v>
      </c>
      <c r="C24" s="91"/>
      <c r="D24" s="91"/>
      <c r="E24" s="91">
        <f>IF(E23=0,0,IF(E23&lt;=3,1,IF(E23&lt;=5,2,IF(E23&lt;=8,3,IF(E23&lt;=11,4,5)))))</f>
        <v>4</v>
      </c>
    </row>
    <row r="26" spans="1:5" ht="15.75" thickBot="1" x14ac:dyDescent="0.3">
      <c r="B26" s="316" t="s">
        <v>47</v>
      </c>
      <c r="C26" s="316"/>
      <c r="D26" s="3" t="s">
        <v>198</v>
      </c>
    </row>
    <row r="27" spans="1:5" ht="15.75" thickTop="1" x14ac:dyDescent="0.25">
      <c r="B27" s="9" t="s">
        <v>77</v>
      </c>
      <c r="C27" s="3">
        <v>0</v>
      </c>
    </row>
    <row r="28" spans="1:5" x14ac:dyDescent="0.25">
      <c r="B28" s="9" t="s">
        <v>96</v>
      </c>
      <c r="C28" s="3">
        <v>1</v>
      </c>
    </row>
    <row r="29" spans="1:5" x14ac:dyDescent="0.25">
      <c r="B29" s="9" t="s">
        <v>97</v>
      </c>
      <c r="C29" s="3">
        <v>2</v>
      </c>
    </row>
    <row r="30" spans="1:5" x14ac:dyDescent="0.25">
      <c r="B30" s="9" t="s">
        <v>95</v>
      </c>
      <c r="C30" s="3">
        <v>3</v>
      </c>
    </row>
    <row r="31" spans="1:5" x14ac:dyDescent="0.25">
      <c r="B31" s="9" t="s">
        <v>98</v>
      </c>
      <c r="C31" s="3">
        <v>4</v>
      </c>
    </row>
    <row r="32" spans="1:5" x14ac:dyDescent="0.25">
      <c r="B32" s="9" t="s">
        <v>99</v>
      </c>
      <c r="C32" s="3">
        <v>5</v>
      </c>
    </row>
  </sheetData>
  <mergeCells count="1">
    <mergeCell ref="B26:C26"/>
  </mergeCells>
  <pageMargins left="0.7" right="0.7" top="0.75" bottom="0.75" header="0.3" footer="0.3"/>
  <pageSetup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B4900-C591-445D-A47D-3B38A0181F63}">
  <sheetPr>
    <tabColor rgb="FFC00000"/>
  </sheetPr>
  <dimension ref="B4:H33"/>
  <sheetViews>
    <sheetView showGridLines="0" topLeftCell="A17" workbookViewId="0">
      <selection activeCell="I25" sqref="I25"/>
    </sheetView>
  </sheetViews>
  <sheetFormatPr baseColWidth="10" defaultRowHeight="15" x14ac:dyDescent="0.25"/>
  <cols>
    <col min="2" max="2" width="40.28515625" customWidth="1"/>
    <col min="3" max="3" width="17" customWidth="1"/>
    <col min="4" max="4" width="18.42578125" customWidth="1"/>
  </cols>
  <sheetData>
    <row r="4" spans="2:8" ht="15.75" thickBot="1" x14ac:dyDescent="0.3"/>
    <row r="5" spans="2:8" x14ac:dyDescent="0.25">
      <c r="B5" s="319" t="s">
        <v>338</v>
      </c>
      <c r="C5" s="317" t="str">
        <f>+'Criterios inversion'!B13</f>
        <v>Peso Criterio</v>
      </c>
      <c r="D5" s="234" t="s">
        <v>10</v>
      </c>
    </row>
    <row r="6" spans="2:8" ht="15.75" thickBot="1" x14ac:dyDescent="0.3">
      <c r="B6" s="320"/>
      <c r="C6" s="318"/>
      <c r="D6" s="52"/>
    </row>
    <row r="7" spans="2:8" x14ac:dyDescent="0.25">
      <c r="B7" s="77" t="s">
        <v>13</v>
      </c>
      <c r="C7" s="79">
        <v>0.25</v>
      </c>
      <c r="D7" s="225">
        <v>4</v>
      </c>
      <c r="E7" t="s">
        <v>219</v>
      </c>
    </row>
    <row r="8" spans="2:8" x14ac:dyDescent="0.25">
      <c r="B8" s="224" t="s">
        <v>76</v>
      </c>
      <c r="C8" s="224"/>
      <c r="D8" s="226"/>
    </row>
    <row r="9" spans="2:8" x14ac:dyDescent="0.25">
      <c r="B9" s="13" t="s">
        <v>14</v>
      </c>
      <c r="C9" s="80">
        <v>0.2</v>
      </c>
      <c r="D9" s="227">
        <v>0</v>
      </c>
      <c r="E9" t="s">
        <v>220</v>
      </c>
    </row>
    <row r="10" spans="2:8" x14ac:dyDescent="0.25">
      <c r="B10" s="13" t="s">
        <v>15</v>
      </c>
      <c r="C10" s="80">
        <v>0.25</v>
      </c>
      <c r="D10" s="227">
        <v>0</v>
      </c>
      <c r="E10" t="s">
        <v>221</v>
      </c>
    </row>
    <row r="11" spans="2:8" x14ac:dyDescent="0.25">
      <c r="B11" s="13" t="s">
        <v>16</v>
      </c>
      <c r="C11" s="80">
        <v>0.15</v>
      </c>
      <c r="D11" s="227">
        <v>0</v>
      </c>
      <c r="E11" t="s">
        <v>217</v>
      </c>
    </row>
    <row r="12" spans="2:8" x14ac:dyDescent="0.25">
      <c r="B12" s="78" t="s">
        <v>17</v>
      </c>
      <c r="C12" s="81">
        <v>0.15</v>
      </c>
      <c r="D12" s="228">
        <v>0</v>
      </c>
      <c r="E12" t="s">
        <v>218</v>
      </c>
    </row>
    <row r="13" spans="2:8" ht="30" x14ac:dyDescent="0.25">
      <c r="B13" s="229" t="s">
        <v>339</v>
      </c>
      <c r="C13" s="230">
        <v>0.5</v>
      </c>
      <c r="D13" s="231">
        <f>SUMPRODUCT($C$7:$C$12,$D$7:$D$12)*$C$13</f>
        <v>0.5</v>
      </c>
    </row>
    <row r="14" spans="2:8" x14ac:dyDescent="0.25">
      <c r="B14" s="206" t="s">
        <v>320</v>
      </c>
      <c r="C14" s="205"/>
      <c r="D14" s="205"/>
    </row>
    <row r="15" spans="2:8" x14ac:dyDescent="0.25">
      <c r="B15" s="321" t="s">
        <v>340</v>
      </c>
      <c r="C15" s="321"/>
      <c r="D15" s="205"/>
      <c r="E15" s="205"/>
    </row>
    <row r="16" spans="2:8" ht="30" x14ac:dyDescent="0.25">
      <c r="B16" s="223" t="s">
        <v>327</v>
      </c>
      <c r="C16" s="80">
        <f>HLOOKUP(LEAME!$C$11,'Auxiliar 2'!$G$35:$I$41,2,0)</f>
        <v>0</v>
      </c>
      <c r="D16" s="95"/>
      <c r="E16" s="233" t="str">
        <f>IF(HLOOKUP(LEAME!$C$11,'Auxiliar 2'!$J$35:$L$41,2,0)=0," ",HLOOKUP(LEAME!$C$11,'Auxiliar 2'!$J$35:$L$41,2,0))</f>
        <v xml:space="preserve"> </v>
      </c>
      <c r="F16" s="233"/>
      <c r="G16" s="233"/>
      <c r="H16" s="233"/>
    </row>
    <row r="17" spans="2:8" x14ac:dyDescent="0.25">
      <c r="B17" s="223" t="s">
        <v>328</v>
      </c>
      <c r="C17" s="80">
        <f>HLOOKUP(LEAME!$C$11,'Auxiliar 2'!$G$35:$I$41,3,0)</f>
        <v>0.4</v>
      </c>
      <c r="D17" s="95"/>
      <c r="E17" s="233" t="str">
        <f>IF(HLOOKUP(LEAME!$C$11,'Auxiliar 2'!$J$35:$L$41,3,0)=0," ",HLOOKUP(LEAME!$C$11,'Auxiliar 2'!$J$35:$L$41,3,0))</f>
        <v>El proyecto optimiza/minimiza el uso del agua</v>
      </c>
      <c r="F17" s="233"/>
      <c r="G17" s="233"/>
      <c r="H17" s="233"/>
    </row>
    <row r="18" spans="2:8" x14ac:dyDescent="0.25">
      <c r="B18" s="223" t="s">
        <v>329</v>
      </c>
      <c r="C18" s="80">
        <f>HLOOKUP(LEAME!$C$11,'Auxiliar 2'!$G$35:$I$41,4,0)</f>
        <v>0.2</v>
      </c>
      <c r="D18" s="95"/>
      <c r="E18" s="233" t="str">
        <f>IF(HLOOKUP(LEAME!$C$11,'Auxiliar 2'!$J$35:$L$41,4,0)=0," ",HLOOKUP(LEAME!$C$11,'Auxiliar 2'!$J$35:$L$41,4,0))</f>
        <v>El proyecto optimiza/minimiza el uso de energía</v>
      </c>
      <c r="F18" s="233"/>
      <c r="G18" s="233"/>
      <c r="H18" s="233"/>
    </row>
    <row r="19" spans="2:8" ht="30" x14ac:dyDescent="0.25">
      <c r="B19" s="223" t="s">
        <v>330</v>
      </c>
      <c r="C19" s="80">
        <f>HLOOKUP(LEAME!$C$11,'Auxiliar 2'!$G$35:$I$41,5,0)</f>
        <v>0.2</v>
      </c>
      <c r="D19" s="95">
        <v>4</v>
      </c>
      <c r="E19" s="233" t="str">
        <f>IF(HLOOKUP(LEAME!$C$11,'Auxiliar 2'!$J$35:$L$41,5,0)=0," ",HLOOKUP(LEAME!$C$11,'Auxiliar 2'!$J$35:$L$41,5,0))</f>
        <v>El proyecto hace uso optimo del suelo y su ocupación</v>
      </c>
      <c r="F19" s="104"/>
      <c r="G19" s="233"/>
      <c r="H19" s="233"/>
    </row>
    <row r="20" spans="2:8" ht="30" x14ac:dyDescent="0.25">
      <c r="B20" s="223" t="s">
        <v>341</v>
      </c>
      <c r="C20" s="80">
        <f>HLOOKUP(LEAME!$C$11,'Auxiliar 2'!$G$35:$I$41,6,0)</f>
        <v>0</v>
      </c>
      <c r="D20" s="95">
        <v>4</v>
      </c>
      <c r="E20" s="233" t="str">
        <f>IF(HLOOKUP(LEAME!$C$11,'Auxiliar 2'!$J$35:$L$41,6,0)=0," ",HLOOKUP(LEAME!$C$11,'Auxiliar 2'!$J$35:$L$41,6,0))</f>
        <v xml:space="preserve"> </v>
      </c>
      <c r="F20" s="104"/>
      <c r="G20" s="233"/>
      <c r="H20" s="233"/>
    </row>
    <row r="21" spans="2:8" ht="30" x14ac:dyDescent="0.25">
      <c r="B21" s="235" t="s">
        <v>326</v>
      </c>
      <c r="C21" s="81">
        <f>HLOOKUP(LEAME!$C$11,'Auxiliar 2'!$G$35:$I$41,7,0)</f>
        <v>0.2</v>
      </c>
      <c r="D21" s="145">
        <v>1</v>
      </c>
      <c r="E21" s="233" t="str">
        <f>IF(HLOOKUP(LEAME!$C$11,'Auxiliar 2'!$J$35:$L$41,7,0)=0," ",HLOOKUP(LEAME!$C$11,'Auxiliar 2'!$J$35:$L$41,7,0))</f>
        <v>Los promotores del Proyecto maximizan el uso de recursos renovables</v>
      </c>
      <c r="F21" s="104"/>
      <c r="G21" s="233"/>
      <c r="H21" s="233"/>
    </row>
    <row r="22" spans="2:8" x14ac:dyDescent="0.25">
      <c r="B22" s="229" t="s">
        <v>342</v>
      </c>
      <c r="C22" s="230">
        <f>1-C13</f>
        <v>0.5</v>
      </c>
      <c r="D22" s="231">
        <f>SUMPRODUCT($C$16:$C$21,$D$16:$D$21)*$C$22</f>
        <v>0.5</v>
      </c>
      <c r="E22" s="9"/>
      <c r="F22" s="9"/>
    </row>
    <row r="23" spans="2:8" ht="30.75" thickBot="1" x14ac:dyDescent="0.3">
      <c r="B23" s="65" t="s">
        <v>343</v>
      </c>
      <c r="C23" s="146"/>
      <c r="D23" s="232">
        <f>+D22+D13</f>
        <v>1</v>
      </c>
    </row>
    <row r="24" spans="2:8" ht="15.75" thickTop="1" x14ac:dyDescent="0.25">
      <c r="B24" s="209" t="s">
        <v>331</v>
      </c>
    </row>
    <row r="27" spans="2:8" ht="15.75" thickBot="1" x14ac:dyDescent="0.3">
      <c r="B27" s="316" t="s">
        <v>47</v>
      </c>
      <c r="C27" s="316"/>
    </row>
    <row r="28" spans="2:8" ht="15.75" thickTop="1" x14ac:dyDescent="0.25">
      <c r="B28" s="9" t="s">
        <v>42</v>
      </c>
      <c r="C28" s="3">
        <v>0</v>
      </c>
    </row>
    <row r="29" spans="2:8" x14ac:dyDescent="0.25">
      <c r="B29" s="9" t="s">
        <v>43</v>
      </c>
      <c r="C29" s="3">
        <v>1</v>
      </c>
    </row>
    <row r="30" spans="2:8" x14ac:dyDescent="0.25">
      <c r="B30" s="9" t="s">
        <v>222</v>
      </c>
      <c r="C30" s="3">
        <v>2</v>
      </c>
    </row>
    <row r="31" spans="2:8" x14ac:dyDescent="0.25">
      <c r="B31" s="9" t="s">
        <v>44</v>
      </c>
      <c r="C31" s="3">
        <v>3</v>
      </c>
    </row>
    <row r="32" spans="2:8" x14ac:dyDescent="0.25">
      <c r="B32" s="9" t="s">
        <v>45</v>
      </c>
      <c r="C32" s="3">
        <v>4</v>
      </c>
    </row>
    <row r="33" spans="2:3" x14ac:dyDescent="0.25">
      <c r="B33" s="9" t="s">
        <v>46</v>
      </c>
      <c r="C33" s="3">
        <v>5</v>
      </c>
    </row>
  </sheetData>
  <mergeCells count="4">
    <mergeCell ref="C5:C6"/>
    <mergeCell ref="B27:C27"/>
    <mergeCell ref="B5:B6"/>
    <mergeCell ref="B15:C15"/>
  </mergeCells>
  <dataValidations count="1">
    <dataValidation type="whole" allowBlank="1" showInputMessage="1" showErrorMessage="1" sqref="D7" xr:uid="{14703EA3-23C5-4E71-94FC-E22DE6501B08}">
      <formula1>0</formula1>
      <formula2>5</formula2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A586B-84E0-4DF9-8BB9-D3A1C86CEA2F}">
  <sheetPr>
    <tabColor rgb="FFC00000"/>
  </sheetPr>
  <dimension ref="B1:J27"/>
  <sheetViews>
    <sheetView zoomScale="110" zoomScaleNormal="110" workbookViewId="0">
      <selection activeCell="H25" sqref="H25"/>
    </sheetView>
  </sheetViews>
  <sheetFormatPr baseColWidth="10" defaultRowHeight="15" x14ac:dyDescent="0.25"/>
  <cols>
    <col min="2" max="2" width="22.7109375" customWidth="1"/>
    <col min="3" max="3" width="7.85546875" customWidth="1"/>
    <col min="4" max="10" width="20.140625" customWidth="1"/>
  </cols>
  <sheetData>
    <row r="1" spans="2:8" x14ac:dyDescent="0.25">
      <c r="B1" s="2" t="s">
        <v>49</v>
      </c>
    </row>
    <row r="2" spans="2:8" x14ac:dyDescent="0.25">
      <c r="B2" s="307" t="s">
        <v>50</v>
      </c>
      <c r="C2" s="1" t="s">
        <v>51</v>
      </c>
      <c r="D2" s="55" t="s">
        <v>55</v>
      </c>
      <c r="E2" s="58" t="s">
        <v>59</v>
      </c>
      <c r="F2" s="60" t="s">
        <v>65</v>
      </c>
    </row>
    <row r="3" spans="2:8" x14ac:dyDescent="0.25">
      <c r="B3" s="307"/>
      <c r="C3" s="8" t="s">
        <v>52</v>
      </c>
      <c r="D3" s="57" t="s">
        <v>57</v>
      </c>
      <c r="E3" s="56" t="s">
        <v>56</v>
      </c>
      <c r="F3" s="59" t="s">
        <v>59</v>
      </c>
    </row>
    <row r="4" spans="2:8" x14ac:dyDescent="0.25">
      <c r="B4" s="307"/>
      <c r="C4" s="8" t="s">
        <v>53</v>
      </c>
      <c r="D4" s="61" t="s">
        <v>58</v>
      </c>
      <c r="E4" s="57" t="s">
        <v>57</v>
      </c>
      <c r="F4" s="56" t="s">
        <v>55</v>
      </c>
    </row>
    <row r="5" spans="2:8" x14ac:dyDescent="0.25">
      <c r="D5" s="6" t="s">
        <v>53</v>
      </c>
      <c r="E5" s="6" t="s">
        <v>52</v>
      </c>
      <c r="F5" s="6" t="s">
        <v>51</v>
      </c>
    </row>
    <row r="6" spans="2:8" x14ac:dyDescent="0.25">
      <c r="D6" s="322" t="s">
        <v>54</v>
      </c>
      <c r="E6" s="322"/>
      <c r="F6" s="322"/>
    </row>
    <row r="7" spans="2:8" ht="15.75" thickBot="1" x14ac:dyDescent="0.3"/>
    <row r="8" spans="2:8" ht="15.75" thickBot="1" x14ac:dyDescent="0.3">
      <c r="B8" s="21" t="s">
        <v>66</v>
      </c>
      <c r="C8" s="64" t="s">
        <v>68</v>
      </c>
      <c r="D8" s="64"/>
      <c r="E8" s="64"/>
      <c r="F8" s="64"/>
      <c r="G8" s="64"/>
      <c r="H8" s="19"/>
    </row>
    <row r="9" spans="2:8" x14ac:dyDescent="0.25">
      <c r="B9" s="62" t="s">
        <v>62</v>
      </c>
      <c r="C9" s="15" t="s">
        <v>69</v>
      </c>
      <c r="D9" s="15"/>
      <c r="E9" s="15"/>
      <c r="F9" s="15"/>
      <c r="G9" s="15"/>
      <c r="H9" s="16"/>
    </row>
    <row r="10" spans="2:8" x14ac:dyDescent="0.25">
      <c r="B10" s="63" t="s">
        <v>63</v>
      </c>
      <c r="C10" t="s">
        <v>70</v>
      </c>
      <c r="H10" s="53"/>
    </row>
    <row r="11" spans="2:8" x14ac:dyDescent="0.25">
      <c r="B11" s="63" t="s">
        <v>71</v>
      </c>
      <c r="C11" t="s">
        <v>72</v>
      </c>
      <c r="H11" s="53"/>
    </row>
    <row r="12" spans="2:8" ht="15.75" thickBot="1" x14ac:dyDescent="0.3">
      <c r="B12" s="54"/>
      <c r="C12" s="17" t="s">
        <v>73</v>
      </c>
      <c r="D12" s="17"/>
      <c r="E12" s="17"/>
      <c r="F12" s="17"/>
      <c r="G12" s="17"/>
      <c r="H12" s="18"/>
    </row>
    <row r="16" spans="2:8" x14ac:dyDescent="0.25">
      <c r="B16" s="2" t="s">
        <v>48</v>
      </c>
    </row>
    <row r="17" spans="2:10" x14ac:dyDescent="0.25">
      <c r="B17" s="325"/>
      <c r="C17" s="323" t="s">
        <v>7</v>
      </c>
      <c r="D17" s="67" t="s">
        <v>10</v>
      </c>
    </row>
    <row r="18" spans="2:10" x14ac:dyDescent="0.25">
      <c r="B18" s="326"/>
      <c r="C18" s="324"/>
      <c r="D18" s="68"/>
    </row>
    <row r="19" spans="2:10" x14ac:dyDescent="0.25">
      <c r="B19" s="69" t="s">
        <v>60</v>
      </c>
      <c r="C19" s="70">
        <v>0.3</v>
      </c>
      <c r="D19" s="7">
        <v>5</v>
      </c>
    </row>
    <row r="20" spans="2:10" x14ac:dyDescent="0.25">
      <c r="B20" s="69" t="s">
        <v>61</v>
      </c>
      <c r="C20" s="70">
        <v>0.3</v>
      </c>
      <c r="D20" s="7">
        <v>5</v>
      </c>
    </row>
    <row r="21" spans="2:10" x14ac:dyDescent="0.25">
      <c r="B21" s="69" t="s">
        <v>74</v>
      </c>
      <c r="C21" s="71"/>
      <c r="D21" s="7"/>
    </row>
    <row r="22" spans="2:10" ht="30" x14ac:dyDescent="0.25">
      <c r="B22" s="72" t="s">
        <v>64</v>
      </c>
      <c r="C22" s="70">
        <v>0.2</v>
      </c>
      <c r="D22" s="7">
        <v>5</v>
      </c>
    </row>
    <row r="23" spans="2:10" ht="30" x14ac:dyDescent="0.25">
      <c r="B23" s="73" t="s">
        <v>75</v>
      </c>
      <c r="C23" s="74">
        <v>0.2</v>
      </c>
      <c r="D23" s="75">
        <f>+D22</f>
        <v>5</v>
      </c>
    </row>
    <row r="24" spans="2:10" s="2" customFormat="1" ht="30.75" thickBot="1" x14ac:dyDescent="0.3">
      <c r="B24" s="65" t="s">
        <v>67</v>
      </c>
      <c r="C24" s="66"/>
      <c r="D24" s="76">
        <f>SUMPRODUCT(D19:D23,$C$19:$C$23)</f>
        <v>5</v>
      </c>
      <c r="E24"/>
      <c r="F24"/>
      <c r="G24"/>
      <c r="H24"/>
      <c r="I24"/>
      <c r="J24"/>
    </row>
    <row r="25" spans="2:10" ht="15.75" thickTop="1" x14ac:dyDescent="0.25">
      <c r="D25" s="3"/>
    </row>
    <row r="26" spans="2:10" x14ac:dyDescent="0.25">
      <c r="D26" s="3"/>
    </row>
    <row r="27" spans="2:10" x14ac:dyDescent="0.25">
      <c r="D27" s="3"/>
      <c r="E27" s="3"/>
      <c r="F27" s="3"/>
      <c r="G27" s="3"/>
      <c r="H27" s="3"/>
      <c r="I27" s="3"/>
      <c r="J27" s="3"/>
    </row>
  </sheetData>
  <mergeCells count="4">
    <mergeCell ref="B2:B4"/>
    <mergeCell ref="D6:F6"/>
    <mergeCell ref="C17:C18"/>
    <mergeCell ref="B17:B1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1FFDC-59F5-442F-9E8C-725F40D77411}">
  <dimension ref="A1:V53"/>
  <sheetViews>
    <sheetView zoomScale="125" workbookViewId="0">
      <selection activeCell="F16" sqref="F16"/>
    </sheetView>
  </sheetViews>
  <sheetFormatPr baseColWidth="10" defaultColWidth="14.42578125" defaultRowHeight="15" customHeight="1" x14ac:dyDescent="0.25"/>
  <cols>
    <col min="1" max="1" width="40.28515625" style="148" customWidth="1"/>
    <col min="2" max="2" width="24.5703125" style="148" customWidth="1"/>
    <col min="3" max="3" width="30.7109375" customWidth="1"/>
    <col min="4" max="22" width="10.7109375" customWidth="1"/>
  </cols>
  <sheetData>
    <row r="1" spans="1:22" ht="15" customHeight="1" x14ac:dyDescent="0.25">
      <c r="A1" s="329" t="s">
        <v>316</v>
      </c>
      <c r="B1" s="329"/>
      <c r="C1" s="329"/>
    </row>
    <row r="2" spans="1:22" x14ac:dyDescent="0.25">
      <c r="A2" s="328" t="s">
        <v>315</v>
      </c>
      <c r="B2" s="328"/>
      <c r="C2" s="328"/>
      <c r="D2" s="151"/>
      <c r="E2" s="151"/>
      <c r="F2" s="151"/>
      <c r="G2" s="152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2"/>
    </row>
    <row r="3" spans="1:22" x14ac:dyDescent="0.25">
      <c r="A3" s="177" t="s">
        <v>229</v>
      </c>
      <c r="B3" s="177"/>
      <c r="C3" s="178" t="s">
        <v>233</v>
      </c>
      <c r="D3" s="153"/>
      <c r="E3" s="152"/>
      <c r="F3" s="153"/>
      <c r="G3" s="153"/>
      <c r="H3" s="153"/>
      <c r="I3" s="153"/>
      <c r="J3" s="153"/>
      <c r="K3" s="153"/>
      <c r="L3" s="153"/>
      <c r="M3" s="151"/>
      <c r="N3" s="152"/>
      <c r="O3" s="152"/>
      <c r="P3" s="152"/>
      <c r="Q3" s="152"/>
      <c r="R3" s="152"/>
      <c r="S3" s="152"/>
      <c r="T3" s="152"/>
      <c r="U3" s="152"/>
      <c r="V3" s="152"/>
    </row>
    <row r="4" spans="1:22" x14ac:dyDescent="0.25">
      <c r="A4" s="327" t="s">
        <v>277</v>
      </c>
      <c r="B4" s="327"/>
      <c r="C4" s="327"/>
      <c r="D4" s="153"/>
      <c r="E4" s="152"/>
      <c r="F4" s="153"/>
      <c r="G4" s="153"/>
      <c r="H4" s="153"/>
      <c r="I4" s="153"/>
      <c r="J4" s="153"/>
      <c r="K4" s="153"/>
      <c r="L4" s="153"/>
      <c r="M4" s="151"/>
      <c r="N4" s="152"/>
      <c r="O4" s="152"/>
      <c r="P4" s="152"/>
      <c r="Q4" s="152"/>
      <c r="R4" s="152"/>
      <c r="S4" s="152"/>
      <c r="T4" s="152"/>
      <c r="U4" s="152"/>
      <c r="V4" s="152"/>
    </row>
    <row r="5" spans="1:22" ht="38.25" x14ac:dyDescent="0.25">
      <c r="A5" s="104" t="s">
        <v>278</v>
      </c>
      <c r="B5" s="150" t="str">
        <f>IF(LEAME!$C$11=1,'Auxiliar 2'!C3,IF(LEAME!$C$11=2,'Auxiliar 2'!C4,'Auxiliar 2'!C5))</f>
        <v>Mitigación/Adaptación</v>
      </c>
      <c r="C5" s="156" t="str">
        <f>IF(LEAME!$C$11=1,'Auxiliar 2'!D3,IF(LEAME!$C$11=2,'Auxiliar 2'!D4,'Auxiliar 2'!D5))</f>
        <v>Silvicultura y uso de la tierra, Ecosistemas y servicios ecosistémicos</v>
      </c>
      <c r="D5" s="153"/>
      <c r="E5" s="152"/>
      <c r="F5" s="153"/>
      <c r="G5" s="153"/>
      <c r="H5" s="153"/>
      <c r="I5" s="153"/>
      <c r="J5" s="153"/>
      <c r="K5" s="153"/>
      <c r="L5" s="153"/>
      <c r="M5" s="151"/>
      <c r="N5" s="152"/>
      <c r="O5" s="152"/>
      <c r="P5" s="152"/>
      <c r="Q5" s="152"/>
      <c r="R5" s="152"/>
      <c r="S5" s="152"/>
      <c r="T5" s="152"/>
      <c r="U5" s="152"/>
      <c r="V5" s="152"/>
    </row>
    <row r="6" spans="1:22" x14ac:dyDescent="0.25">
      <c r="A6" s="327" t="s">
        <v>279</v>
      </c>
      <c r="B6" s="327"/>
      <c r="C6" s="327"/>
      <c r="D6" s="153"/>
      <c r="E6" s="152"/>
      <c r="F6" s="153"/>
      <c r="G6" s="153"/>
      <c r="H6" s="153"/>
      <c r="I6" s="153"/>
      <c r="J6" s="153"/>
      <c r="K6" s="153"/>
      <c r="L6" s="153"/>
      <c r="M6" s="151"/>
      <c r="N6" s="152"/>
      <c r="O6" s="152"/>
      <c r="P6" s="152"/>
      <c r="Q6" s="152"/>
      <c r="R6" s="152"/>
      <c r="S6" s="152"/>
      <c r="T6" s="152"/>
      <c r="U6" s="152"/>
      <c r="V6" s="152"/>
    </row>
    <row r="7" spans="1:22" x14ac:dyDescent="0.25">
      <c r="A7" s="157" t="s">
        <v>235</v>
      </c>
      <c r="B7" s="154"/>
      <c r="C7" s="155" t="str">
        <f>LEAME!D33</f>
        <v>0 a 100 familias</v>
      </c>
      <c r="D7" s="153"/>
      <c r="E7" s="152"/>
      <c r="F7" s="153"/>
      <c r="G7" s="153"/>
      <c r="H7" s="153"/>
      <c r="I7" s="153"/>
      <c r="J7" s="153"/>
      <c r="K7" s="153"/>
      <c r="L7" s="153"/>
      <c r="M7" s="151"/>
      <c r="N7" s="152"/>
      <c r="O7" s="152"/>
      <c r="P7" s="152"/>
      <c r="Q7" s="152"/>
      <c r="R7" s="152"/>
      <c r="S7" s="152"/>
      <c r="T7" s="152"/>
      <c r="U7" s="152"/>
      <c r="V7" s="152"/>
    </row>
    <row r="8" spans="1:22" x14ac:dyDescent="0.25">
      <c r="A8" s="154" t="s">
        <v>236</v>
      </c>
      <c r="B8" s="154"/>
      <c r="C8" s="158" t="str">
        <f>LEAME!D34</f>
        <v>&gt; al 50.1% de la población del Municipio</v>
      </c>
      <c r="D8" s="153"/>
      <c r="E8" s="152"/>
      <c r="F8" s="153"/>
      <c r="G8" s="153"/>
      <c r="H8" s="153"/>
      <c r="I8" s="153"/>
      <c r="J8" s="153"/>
      <c r="K8" s="153"/>
      <c r="L8" s="153"/>
      <c r="M8" s="151"/>
      <c r="N8" s="152"/>
      <c r="O8" s="152"/>
      <c r="P8" s="152"/>
      <c r="Q8" s="152"/>
      <c r="R8" s="152"/>
      <c r="S8" s="152"/>
      <c r="T8" s="152"/>
      <c r="U8" s="152"/>
      <c r="V8" s="152"/>
    </row>
    <row r="9" spans="1:22" x14ac:dyDescent="0.25">
      <c r="A9" s="327" t="s">
        <v>268</v>
      </c>
      <c r="B9" s="327"/>
      <c r="C9" s="327"/>
      <c r="D9" s="153"/>
      <c r="E9" s="152"/>
      <c r="F9" s="153"/>
      <c r="G9" s="153"/>
      <c r="H9" s="153"/>
      <c r="I9" s="153"/>
      <c r="J9" s="153"/>
      <c r="K9" s="153"/>
      <c r="L9" s="153"/>
      <c r="M9" s="151"/>
      <c r="N9" s="152"/>
      <c r="O9" s="152"/>
      <c r="P9" s="152"/>
      <c r="Q9" s="152"/>
      <c r="R9" s="152"/>
      <c r="S9" s="152"/>
      <c r="T9" s="152"/>
      <c r="U9" s="152"/>
      <c r="V9" s="152"/>
    </row>
    <row r="10" spans="1:22" x14ac:dyDescent="0.25">
      <c r="A10" s="159" t="s">
        <v>280</v>
      </c>
      <c r="B10" s="155" t="str">
        <f>IF(LEAME!$D$37=1,'Auxiliar 2'!D8,IF(LEAME!D37=2,'Auxiliar 2'!D9,'Auxiliar 2'!D10))</f>
        <v>Euros</v>
      </c>
      <c r="C10" s="174">
        <f>+LEAME!E37</f>
        <v>1500000</v>
      </c>
      <c r="D10" s="153"/>
      <c r="E10" s="152"/>
      <c r="F10" s="153"/>
      <c r="G10" s="153"/>
      <c r="H10" s="153"/>
      <c r="I10" s="153"/>
      <c r="J10" s="153"/>
      <c r="K10" s="153"/>
      <c r="L10" s="153"/>
      <c r="M10" s="151"/>
      <c r="N10" s="152"/>
      <c r="O10" s="152"/>
      <c r="P10" s="152"/>
      <c r="Q10" s="152"/>
      <c r="R10" s="152"/>
      <c r="S10" s="152"/>
      <c r="T10" s="152"/>
      <c r="U10" s="152"/>
      <c r="V10" s="152"/>
    </row>
    <row r="11" spans="1:22" x14ac:dyDescent="0.25">
      <c r="A11" s="159" t="str">
        <f>+LEAME!B39</f>
        <v>Costo por tCO2 reducida</v>
      </c>
      <c r="B11" s="155" t="str">
        <f>+LEAME!D39</f>
        <v>Euros/tCO2</v>
      </c>
      <c r="C11" s="155">
        <f>+LEAME!E39</f>
        <v>30</v>
      </c>
      <c r="D11" s="153"/>
      <c r="E11" s="152"/>
      <c r="F11" s="153"/>
      <c r="G11" s="153"/>
      <c r="H11" s="153"/>
      <c r="I11" s="153"/>
      <c r="J11" s="153"/>
      <c r="K11" s="153"/>
      <c r="L11" s="153"/>
      <c r="M11" s="151"/>
      <c r="N11" s="152"/>
      <c r="O11" s="152"/>
      <c r="P11" s="152"/>
      <c r="Q11" s="152"/>
      <c r="R11" s="152"/>
      <c r="S11" s="152"/>
      <c r="T11" s="152"/>
      <c r="U11" s="152"/>
      <c r="V11" s="152"/>
    </row>
    <row r="12" spans="1:22" x14ac:dyDescent="0.25">
      <c r="A12" s="327" t="s">
        <v>291</v>
      </c>
      <c r="B12" s="327"/>
      <c r="C12" s="327"/>
      <c r="D12" s="153"/>
      <c r="E12" s="152"/>
      <c r="F12" s="153"/>
      <c r="G12" s="153"/>
      <c r="H12" s="153"/>
      <c r="I12" s="153"/>
      <c r="J12" s="153"/>
      <c r="K12" s="153"/>
      <c r="L12" s="153"/>
      <c r="M12" s="151"/>
      <c r="N12" s="152"/>
      <c r="O12" s="152"/>
      <c r="P12" s="152"/>
      <c r="Q12" s="152"/>
      <c r="R12" s="152"/>
      <c r="S12" s="152"/>
      <c r="T12" s="152"/>
      <c r="U12" s="152"/>
      <c r="V12" s="152"/>
    </row>
    <row r="13" spans="1:22" x14ac:dyDescent="0.25">
      <c r="A13" s="160" t="s">
        <v>281</v>
      </c>
      <c r="B13" s="166" t="str">
        <f>+LEAME!D43</f>
        <v>años</v>
      </c>
      <c r="C13" s="166">
        <f>+LEAME!E43</f>
        <v>1</v>
      </c>
      <c r="D13" s="153"/>
      <c r="E13" s="152"/>
      <c r="F13" s="153"/>
      <c r="G13" s="153"/>
      <c r="H13" s="153"/>
      <c r="I13" s="153"/>
      <c r="J13" s="153"/>
      <c r="K13" s="153"/>
      <c r="L13" s="153"/>
      <c r="M13" s="151"/>
      <c r="N13" s="152"/>
      <c r="O13" s="152"/>
      <c r="P13" s="152"/>
      <c r="Q13" s="152"/>
      <c r="R13" s="152"/>
      <c r="S13" s="152"/>
      <c r="T13" s="152"/>
      <c r="U13" s="152"/>
      <c r="V13" s="152"/>
    </row>
    <row r="14" spans="1:22" x14ac:dyDescent="0.25">
      <c r="A14" s="160" t="s">
        <v>253</v>
      </c>
      <c r="B14" s="166" t="str">
        <f>+LEAME!D44</f>
        <v>años</v>
      </c>
      <c r="C14" s="166">
        <f>+LEAME!E44</f>
        <v>10</v>
      </c>
      <c r="D14" s="153"/>
      <c r="E14" s="152"/>
      <c r="F14" s="153"/>
      <c r="G14" s="153"/>
      <c r="H14" s="153"/>
      <c r="I14" s="153"/>
      <c r="J14" s="153"/>
      <c r="K14" s="153"/>
      <c r="L14" s="153"/>
      <c r="M14" s="151"/>
      <c r="N14" s="152"/>
      <c r="O14" s="152"/>
      <c r="P14" s="152"/>
      <c r="Q14" s="152"/>
      <c r="R14" s="152"/>
      <c r="S14" s="152"/>
      <c r="T14" s="152"/>
      <c r="U14" s="152"/>
      <c r="V14" s="152"/>
    </row>
    <row r="15" spans="1:22" x14ac:dyDescent="0.25">
      <c r="A15" s="327" t="s">
        <v>292</v>
      </c>
      <c r="B15" s="327"/>
      <c r="C15" s="327"/>
      <c r="D15" s="153"/>
      <c r="E15" s="152"/>
      <c r="F15" s="153"/>
      <c r="G15" s="153"/>
      <c r="H15" s="153"/>
      <c r="I15" s="153"/>
      <c r="J15" s="153"/>
      <c r="K15" s="153"/>
      <c r="L15" s="153"/>
      <c r="M15" s="151"/>
      <c r="N15" s="152"/>
      <c r="O15" s="152"/>
      <c r="P15" s="152"/>
      <c r="Q15" s="152"/>
      <c r="R15" s="152"/>
      <c r="S15" s="152"/>
      <c r="T15" s="152"/>
      <c r="U15" s="152"/>
      <c r="V15" s="152"/>
    </row>
    <row r="16" spans="1:22" ht="18" x14ac:dyDescent="0.25">
      <c r="A16" s="330" t="s">
        <v>282</v>
      </c>
      <c r="B16" s="160" t="s">
        <v>262</v>
      </c>
      <c r="C16" s="173">
        <f>LEAME!E38</f>
        <v>5000</v>
      </c>
      <c r="D16" s="153"/>
      <c r="E16" s="152"/>
      <c r="F16" s="153"/>
      <c r="G16" s="153"/>
      <c r="H16" s="153"/>
      <c r="I16" s="153"/>
      <c r="J16" s="153"/>
      <c r="K16" s="153"/>
      <c r="L16" s="153"/>
      <c r="M16" s="151"/>
      <c r="N16" s="152"/>
      <c r="O16" s="152"/>
      <c r="P16" s="152"/>
      <c r="Q16" s="152"/>
      <c r="R16" s="152"/>
      <c r="S16" s="152"/>
      <c r="T16" s="152"/>
      <c r="U16" s="152"/>
      <c r="V16" s="152"/>
    </row>
    <row r="17" spans="1:22" ht="33.75" x14ac:dyDescent="0.25">
      <c r="A17" s="330"/>
      <c r="B17" s="203" t="s">
        <v>205</v>
      </c>
      <c r="C17" s="204" t="str">
        <f>+'Datos Entrada'!H5</f>
        <v>Se busca que apoye la adaptación al Cambio Climático en la Población, en particular grupos vulnerables</v>
      </c>
      <c r="D17" s="153"/>
      <c r="E17" s="152"/>
      <c r="F17" s="153"/>
      <c r="G17" s="153"/>
      <c r="H17" s="153"/>
      <c r="I17" s="153"/>
      <c r="J17" s="153"/>
      <c r="K17" s="153"/>
      <c r="L17" s="153"/>
      <c r="M17" s="151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30" x14ac:dyDescent="0.25">
      <c r="A18" s="330" t="s">
        <v>263</v>
      </c>
      <c r="B18" s="160" t="s">
        <v>283</v>
      </c>
      <c r="C18" s="173" t="str">
        <f>VLOOKUP('Datos Entrada'!$G$7,'Auxiliar 2'!$B$19:$C$24,2,0)</f>
        <v>No tiene</v>
      </c>
      <c r="D18" s="153"/>
      <c r="E18" s="152"/>
      <c r="F18" s="153"/>
      <c r="G18" s="153"/>
      <c r="H18" s="153"/>
      <c r="I18" s="153"/>
      <c r="J18" s="153"/>
      <c r="K18" s="153"/>
      <c r="L18" s="153"/>
      <c r="M18" s="151"/>
      <c r="N18" s="152"/>
      <c r="O18" s="152"/>
      <c r="P18" s="152"/>
      <c r="Q18" s="152"/>
      <c r="R18" s="152"/>
      <c r="S18" s="152"/>
      <c r="T18" s="152"/>
      <c r="U18" s="152"/>
      <c r="V18" s="152"/>
    </row>
    <row r="19" spans="1:22" ht="30" x14ac:dyDescent="0.25">
      <c r="A19" s="330"/>
      <c r="B19" s="160" t="s">
        <v>284</v>
      </c>
      <c r="C19" s="173" t="str">
        <f>VLOOKUP('Datos Entrada'!$G$8,'Auxiliar 2'!$B$19:$C$24,2,0)</f>
        <v>Media o Parcialmente</v>
      </c>
      <c r="D19" s="153"/>
      <c r="E19" s="152"/>
      <c r="F19" s="153"/>
      <c r="G19" s="153"/>
      <c r="H19" s="153"/>
      <c r="I19" s="153"/>
      <c r="J19" s="153"/>
      <c r="K19" s="153"/>
      <c r="L19" s="153"/>
      <c r="M19" s="151"/>
      <c r="N19" s="152"/>
      <c r="O19" s="152"/>
      <c r="P19" s="152"/>
      <c r="Q19" s="152"/>
      <c r="R19" s="152"/>
      <c r="S19" s="152"/>
      <c r="T19" s="152"/>
      <c r="U19" s="152"/>
      <c r="V19" s="152"/>
    </row>
    <row r="20" spans="1:22" ht="20.45" customHeight="1" x14ac:dyDescent="0.25">
      <c r="A20" s="330"/>
      <c r="B20" s="160" t="s">
        <v>108</v>
      </c>
      <c r="C20" s="173" t="str">
        <f>VLOOKUP('Datos Entrada'!$G$9,'Auxiliar 2'!$B$19:$C$24,2,0)</f>
        <v>Muy alta o Muy alto</v>
      </c>
      <c r="D20" s="153"/>
      <c r="E20" s="152"/>
      <c r="F20" s="153"/>
      <c r="G20" s="153"/>
      <c r="H20" s="153"/>
      <c r="I20" s="153"/>
      <c r="J20" s="153"/>
      <c r="K20" s="153"/>
      <c r="L20" s="153"/>
      <c r="M20" s="151"/>
      <c r="N20" s="152"/>
      <c r="O20" s="152"/>
      <c r="P20" s="152"/>
      <c r="Q20" s="152"/>
      <c r="R20" s="152"/>
      <c r="S20" s="152"/>
      <c r="T20" s="152"/>
      <c r="U20" s="152"/>
      <c r="V20" s="152"/>
    </row>
    <row r="21" spans="1:22" x14ac:dyDescent="0.25">
      <c r="A21" s="330" t="s">
        <v>285</v>
      </c>
      <c r="B21" s="160" t="s">
        <v>34</v>
      </c>
      <c r="C21" s="173" t="str">
        <f>VLOOKUP('Datos Entrada'!$G11,'Auxiliar 2'!$B$19:$C$24,2,0)</f>
        <v>No tiene</v>
      </c>
      <c r="D21" s="153"/>
      <c r="E21" s="152"/>
      <c r="F21" s="153"/>
      <c r="G21" s="153"/>
      <c r="H21" s="153"/>
      <c r="I21" s="153"/>
      <c r="J21" s="153"/>
      <c r="K21" s="153"/>
      <c r="L21" s="153"/>
      <c r="M21" s="151"/>
      <c r="N21" s="152"/>
      <c r="O21" s="152"/>
      <c r="P21" s="152"/>
      <c r="Q21" s="152"/>
      <c r="R21" s="152"/>
      <c r="S21" s="152"/>
      <c r="T21" s="152"/>
      <c r="U21" s="152"/>
      <c r="V21" s="152"/>
    </row>
    <row r="22" spans="1:22" x14ac:dyDescent="0.25">
      <c r="A22" s="330"/>
      <c r="B22" s="160" t="s">
        <v>20</v>
      </c>
      <c r="C22" s="173" t="str">
        <f>VLOOKUP('Datos Entrada'!$G12,'Auxiliar 2'!$B$19:$C$24,2,0)</f>
        <v>No tiene</v>
      </c>
      <c r="D22" s="153"/>
      <c r="E22" s="152"/>
      <c r="F22" s="153"/>
      <c r="G22" s="153"/>
      <c r="H22" s="153"/>
      <c r="I22" s="153"/>
      <c r="J22" s="153"/>
      <c r="K22" s="153"/>
      <c r="L22" s="153"/>
      <c r="M22" s="151"/>
      <c r="N22" s="152"/>
      <c r="O22" s="152"/>
      <c r="P22" s="152"/>
      <c r="Q22" s="152"/>
      <c r="R22" s="152"/>
      <c r="S22" s="152"/>
      <c r="T22" s="152"/>
      <c r="U22" s="152"/>
      <c r="V22" s="152"/>
    </row>
    <row r="23" spans="1:22" x14ac:dyDescent="0.25">
      <c r="A23" s="330"/>
      <c r="B23" s="160" t="s">
        <v>19</v>
      </c>
      <c r="C23" s="173" t="str">
        <f>VLOOKUP('Datos Entrada'!$G13,'Auxiliar 2'!$B$19:$C$24,2,0)</f>
        <v>Muy alta o Muy alto</v>
      </c>
      <c r="D23" s="153"/>
      <c r="E23" s="152"/>
      <c r="F23" s="153"/>
      <c r="G23" s="153"/>
      <c r="H23" s="153"/>
      <c r="I23" s="153"/>
      <c r="J23" s="153"/>
      <c r="K23" s="153"/>
      <c r="L23" s="153"/>
      <c r="M23" s="151"/>
      <c r="N23" s="152"/>
      <c r="O23" s="152"/>
      <c r="P23" s="152"/>
      <c r="Q23" s="152"/>
      <c r="R23" s="152"/>
      <c r="S23" s="152"/>
      <c r="T23" s="152"/>
      <c r="U23" s="152"/>
      <c r="V23" s="152"/>
    </row>
    <row r="24" spans="1:22" x14ac:dyDescent="0.25">
      <c r="A24" s="330"/>
      <c r="B24" s="160" t="s">
        <v>18</v>
      </c>
      <c r="C24" s="173" t="str">
        <f>VLOOKUP('Datos Entrada'!$G14,'Auxiliar 2'!$B$19:$C$24,2,0)</f>
        <v>Muy alta o Muy alto</v>
      </c>
      <c r="D24" s="153"/>
      <c r="E24" s="152"/>
      <c r="F24" s="153"/>
      <c r="G24" s="153"/>
      <c r="H24" s="153"/>
      <c r="I24" s="153"/>
      <c r="J24" s="153"/>
      <c r="K24" s="153"/>
      <c r="L24" s="153"/>
      <c r="M24" s="151"/>
      <c r="N24" s="152"/>
      <c r="O24" s="152"/>
      <c r="P24" s="152"/>
      <c r="Q24" s="152"/>
      <c r="R24" s="152"/>
      <c r="S24" s="152"/>
      <c r="T24" s="152"/>
      <c r="U24" s="152"/>
      <c r="V24" s="152"/>
    </row>
    <row r="25" spans="1:22" x14ac:dyDescent="0.25">
      <c r="A25" s="334" t="s">
        <v>266</v>
      </c>
      <c r="B25" s="334"/>
      <c r="C25" s="173" t="str">
        <f>VLOOKUP('Datos Entrada'!$G15,'Auxiliar 2'!$B$19:$C$24,2,0)</f>
        <v>Alta o Relevante</v>
      </c>
      <c r="D25" s="153"/>
      <c r="E25" s="152"/>
      <c r="F25" s="153"/>
      <c r="G25" s="153"/>
      <c r="H25" s="153"/>
      <c r="I25" s="153"/>
      <c r="J25" s="153"/>
      <c r="K25" s="153"/>
      <c r="L25" s="153"/>
      <c r="M25" s="151"/>
      <c r="N25" s="152"/>
      <c r="O25" s="152"/>
      <c r="P25" s="152"/>
      <c r="Q25" s="152"/>
      <c r="R25" s="152"/>
      <c r="S25" s="152"/>
      <c r="T25" s="152"/>
      <c r="U25" s="152"/>
      <c r="V25" s="152"/>
    </row>
    <row r="26" spans="1:22" ht="36" x14ac:dyDescent="0.25">
      <c r="A26" s="335" t="s">
        <v>36</v>
      </c>
      <c r="B26" s="176" t="s">
        <v>269</v>
      </c>
      <c r="C26" s="173" t="str">
        <f>VLOOKUP('Datos Entrada'!$G17,'Auxiliar 2'!$B$19:$C$24,2,0)</f>
        <v>Muy alta o Muy alto</v>
      </c>
      <c r="D26" s="153"/>
      <c r="E26" s="152"/>
      <c r="F26" s="153"/>
      <c r="G26" s="153"/>
      <c r="H26" s="153"/>
      <c r="I26" s="153"/>
      <c r="J26" s="153"/>
      <c r="K26" s="153"/>
      <c r="L26" s="153"/>
      <c r="M26" s="151"/>
      <c r="N26" s="152"/>
      <c r="O26" s="152"/>
      <c r="P26" s="152"/>
      <c r="Q26" s="152"/>
      <c r="R26" s="152"/>
      <c r="S26" s="152"/>
      <c r="T26" s="152"/>
      <c r="U26" s="152"/>
      <c r="V26" s="152"/>
    </row>
    <row r="27" spans="1:22" ht="36" x14ac:dyDescent="0.25">
      <c r="A27" s="335"/>
      <c r="B27" s="176" t="s">
        <v>286</v>
      </c>
      <c r="C27" s="173" t="str">
        <f>VLOOKUP('Datos Entrada'!$G18,'Auxiliar 2'!$B$19:$C$24,2,0)</f>
        <v>Media o Parcialmente</v>
      </c>
      <c r="D27" s="153"/>
      <c r="E27" s="152"/>
      <c r="F27" s="153"/>
      <c r="G27" s="153"/>
      <c r="H27" s="153"/>
      <c r="I27" s="153"/>
      <c r="J27" s="153"/>
      <c r="K27" s="153"/>
      <c r="L27" s="153"/>
      <c r="M27" s="151"/>
      <c r="N27" s="152"/>
      <c r="O27" s="152"/>
      <c r="P27" s="152"/>
      <c r="Q27" s="152"/>
      <c r="R27" s="152"/>
      <c r="S27" s="152"/>
      <c r="T27" s="152"/>
      <c r="U27" s="152"/>
      <c r="V27" s="152"/>
    </row>
    <row r="28" spans="1:22" ht="30" x14ac:dyDescent="0.25">
      <c r="A28" s="330" t="s">
        <v>287</v>
      </c>
      <c r="B28" s="160" t="s">
        <v>270</v>
      </c>
      <c r="C28" s="173" t="str">
        <f>VLOOKUP('Datos Entrada'!$G20,'Auxiliar 2'!$B$19:$C$24,2,0)</f>
        <v>Muy alta o Muy alto</v>
      </c>
      <c r="D28" s="153"/>
      <c r="E28" s="152"/>
      <c r="F28" s="153"/>
      <c r="G28" s="153"/>
      <c r="H28" s="153"/>
      <c r="I28" s="153"/>
      <c r="J28" s="153"/>
      <c r="K28" s="153"/>
      <c r="L28" s="153"/>
      <c r="M28" s="151"/>
      <c r="N28" s="152"/>
      <c r="O28" s="152"/>
      <c r="P28" s="152"/>
      <c r="Q28" s="152"/>
      <c r="R28" s="152"/>
      <c r="S28" s="152"/>
      <c r="T28" s="152"/>
      <c r="U28" s="152"/>
      <c r="V28" s="152"/>
    </row>
    <row r="29" spans="1:22" ht="30" x14ac:dyDescent="0.25">
      <c r="A29" s="330"/>
      <c r="B29" s="160" t="s">
        <v>288</v>
      </c>
      <c r="C29" s="173" t="str">
        <f>VLOOKUP('Datos Entrada'!$G21,'Auxiliar 2'!$B$19:$C$24,2,0)</f>
        <v>Media o Parcialmente</v>
      </c>
      <c r="D29" s="153"/>
      <c r="E29" s="152"/>
      <c r="F29" s="153"/>
      <c r="G29" s="153"/>
      <c r="H29" s="153"/>
      <c r="I29" s="153"/>
      <c r="J29" s="153"/>
      <c r="K29" s="153"/>
      <c r="L29" s="153"/>
      <c r="M29" s="151"/>
      <c r="N29" s="152"/>
      <c r="O29" s="152"/>
      <c r="P29" s="152"/>
      <c r="Q29" s="152"/>
      <c r="R29" s="152"/>
      <c r="S29" s="152"/>
      <c r="T29" s="152"/>
      <c r="U29" s="152"/>
      <c r="V29" s="152"/>
    </row>
    <row r="30" spans="1:22" ht="48" x14ac:dyDescent="0.25">
      <c r="A30" s="330"/>
      <c r="B30" s="176" t="s">
        <v>274</v>
      </c>
      <c r="C30" s="173" t="str">
        <f>VLOOKUP('Datos Entrada'!$G22,'Auxiliar 2'!$B$19:$C$24,2,0)</f>
        <v>Alta o Relevante</v>
      </c>
      <c r="D30" s="153"/>
      <c r="E30" s="152"/>
      <c r="F30" s="153"/>
      <c r="G30" s="153"/>
      <c r="H30" s="153"/>
      <c r="I30" s="153"/>
      <c r="J30" s="153"/>
      <c r="K30" s="153"/>
      <c r="L30" s="153"/>
      <c r="M30" s="151"/>
      <c r="N30" s="152"/>
      <c r="O30" s="152"/>
      <c r="P30" s="152"/>
      <c r="Q30" s="152"/>
      <c r="R30" s="152"/>
      <c r="S30" s="152"/>
      <c r="T30" s="152"/>
      <c r="U30" s="152"/>
      <c r="V30" s="152"/>
    </row>
    <row r="31" spans="1:22" ht="30" x14ac:dyDescent="0.25">
      <c r="A31" s="330" t="s">
        <v>6</v>
      </c>
      <c r="B31" s="160" t="s">
        <v>264</v>
      </c>
      <c r="C31" s="173" t="str">
        <f>VLOOKUP('Datos Entrada'!$G24,'Auxiliar 2'!$B$19:$C$24,2,0)</f>
        <v>No tiene</v>
      </c>
      <c r="D31" s="153"/>
      <c r="E31" s="152"/>
      <c r="F31" s="153"/>
      <c r="G31" s="153"/>
      <c r="H31" s="153"/>
      <c r="I31" s="153"/>
      <c r="J31" s="153"/>
      <c r="K31" s="153"/>
      <c r="L31" s="153"/>
      <c r="M31" s="151"/>
      <c r="N31" s="152"/>
      <c r="O31" s="152"/>
      <c r="P31" s="152"/>
      <c r="Q31" s="152"/>
      <c r="R31" s="152"/>
      <c r="S31" s="152"/>
      <c r="T31" s="152"/>
      <c r="U31" s="152"/>
      <c r="V31" s="152"/>
    </row>
    <row r="32" spans="1:22" ht="30" x14ac:dyDescent="0.25">
      <c r="A32" s="330"/>
      <c r="B32" s="160" t="s">
        <v>265</v>
      </c>
      <c r="C32" s="173" t="str">
        <f>VLOOKUP('Datos Entrada'!$G25,'Auxiliar 2'!$B$19:$C$24,2,0)</f>
        <v>Media o Parcialmente</v>
      </c>
      <c r="D32" s="153"/>
      <c r="E32" s="152"/>
      <c r="F32" s="153"/>
      <c r="G32" s="153"/>
      <c r="H32" s="153"/>
      <c r="I32" s="153"/>
      <c r="J32" s="153"/>
      <c r="K32" s="153"/>
      <c r="L32" s="153"/>
      <c r="M32" s="151"/>
      <c r="N32" s="152"/>
      <c r="O32" s="152"/>
      <c r="P32" s="152"/>
      <c r="Q32" s="152"/>
      <c r="R32" s="152"/>
      <c r="S32" s="152"/>
      <c r="T32" s="152"/>
      <c r="U32" s="152"/>
      <c r="V32" s="152"/>
    </row>
    <row r="33" spans="1:22" x14ac:dyDescent="0.25">
      <c r="A33" s="330"/>
      <c r="B33" s="160" t="s">
        <v>271</v>
      </c>
      <c r="C33" s="173" t="str">
        <f>VLOOKUP('Datos Entrada'!$G26,'Auxiliar 2'!$B$19:$C$24,2,0)</f>
        <v>No tiene</v>
      </c>
      <c r="D33" s="153"/>
      <c r="E33" s="152"/>
      <c r="F33" s="153"/>
      <c r="G33" s="153"/>
      <c r="H33" s="153"/>
      <c r="I33" s="153"/>
      <c r="J33" s="153"/>
      <c r="K33" s="153"/>
      <c r="L33" s="153"/>
      <c r="M33" s="151"/>
      <c r="N33" s="152"/>
      <c r="O33" s="152"/>
      <c r="P33" s="152"/>
      <c r="Q33" s="152"/>
      <c r="R33" s="152"/>
      <c r="S33" s="152"/>
      <c r="T33" s="152"/>
      <c r="U33" s="152"/>
      <c r="V33" s="152"/>
    </row>
    <row r="34" spans="1:22" ht="30" x14ac:dyDescent="0.25">
      <c r="A34" s="330"/>
      <c r="B34" s="160" t="s">
        <v>272</v>
      </c>
      <c r="C34" s="173" t="str">
        <f>VLOOKUP('Datos Entrada'!$G27,'Auxiliar 2'!$B$19:$C$24,2,0)</f>
        <v>Bajo o Baja</v>
      </c>
      <c r="D34" s="153"/>
      <c r="E34" s="152"/>
      <c r="F34" s="153"/>
      <c r="G34" s="153"/>
      <c r="H34" s="153"/>
      <c r="I34" s="153"/>
      <c r="J34" s="153"/>
      <c r="K34" s="153"/>
      <c r="L34" s="153"/>
      <c r="M34" s="151"/>
      <c r="N34" s="152"/>
      <c r="O34" s="152"/>
      <c r="P34" s="152"/>
      <c r="Q34" s="152"/>
      <c r="R34" s="152"/>
      <c r="S34" s="152"/>
      <c r="T34" s="152"/>
      <c r="U34" s="152"/>
      <c r="V34" s="152"/>
    </row>
    <row r="35" spans="1:22" x14ac:dyDescent="0.25">
      <c r="A35" s="327" t="s">
        <v>273</v>
      </c>
      <c r="B35" s="327"/>
      <c r="C35" s="327"/>
      <c r="D35" s="153"/>
      <c r="E35" s="152"/>
      <c r="F35" s="153"/>
      <c r="G35" s="153"/>
      <c r="H35" s="153"/>
      <c r="I35" s="153"/>
      <c r="J35" s="153"/>
      <c r="K35" s="153"/>
      <c r="L35" s="153"/>
      <c r="M35" s="151"/>
      <c r="N35" s="152"/>
      <c r="O35" s="152"/>
      <c r="P35" s="152"/>
      <c r="Q35" s="152"/>
      <c r="R35" s="152"/>
      <c r="S35" s="152"/>
      <c r="T35" s="152"/>
      <c r="U35" s="152"/>
      <c r="V35" s="152"/>
    </row>
    <row r="36" spans="1:22" x14ac:dyDescent="0.25">
      <c r="A36" s="331" t="s">
        <v>289</v>
      </c>
      <c r="B36" s="175" t="str">
        <f>+'ODS Analisis'!B6</f>
        <v>Lucha contra la pobreza</v>
      </c>
      <c r="C36" s="173" t="str">
        <f>VLOOKUP('ODS Analisis'!$E6,'Auxiliar 2'!$B$26:$C$27,2,0)</f>
        <v>Vinculado</v>
      </c>
      <c r="D36" s="153"/>
      <c r="E36" s="152"/>
      <c r="F36" s="153"/>
      <c r="G36" s="153"/>
      <c r="H36" s="153"/>
      <c r="I36" s="153"/>
      <c r="J36" s="153"/>
      <c r="K36" s="153"/>
      <c r="L36" s="153"/>
      <c r="M36" s="151"/>
      <c r="N36" s="152"/>
      <c r="O36" s="152"/>
      <c r="P36" s="152"/>
      <c r="Q36" s="152"/>
      <c r="R36" s="152"/>
      <c r="S36" s="152"/>
      <c r="T36" s="152"/>
      <c r="U36" s="152"/>
      <c r="V36" s="152"/>
    </row>
    <row r="37" spans="1:22" x14ac:dyDescent="0.25">
      <c r="A37" s="332"/>
      <c r="B37" s="175" t="str">
        <f>+'ODS Analisis'!B7</f>
        <v>Lucha contra el hambre</v>
      </c>
      <c r="C37" s="173" t="str">
        <f>VLOOKUP('ODS Analisis'!$E7,'Auxiliar 2'!$B$26:$C$27,2,0)</f>
        <v>Vinculado</v>
      </c>
      <c r="D37" s="153"/>
      <c r="E37" s="152"/>
      <c r="F37" s="153"/>
      <c r="G37" s="153"/>
      <c r="H37" s="153"/>
      <c r="I37" s="153"/>
      <c r="J37" s="153"/>
      <c r="K37" s="153"/>
      <c r="L37" s="153"/>
      <c r="M37" s="151"/>
      <c r="N37" s="152"/>
      <c r="O37" s="152"/>
      <c r="P37" s="152"/>
      <c r="Q37" s="152"/>
      <c r="R37" s="152"/>
      <c r="S37" s="152"/>
      <c r="T37" s="152"/>
      <c r="U37" s="152"/>
      <c r="V37" s="152"/>
    </row>
    <row r="38" spans="1:22" x14ac:dyDescent="0.25">
      <c r="A38" s="332"/>
      <c r="B38" s="175" t="str">
        <f>+'ODS Analisis'!B8</f>
        <v>Bienestar para todos</v>
      </c>
      <c r="C38" s="173" t="str">
        <f>VLOOKUP('ODS Analisis'!$E8,'Auxiliar 2'!$B$26:$C$27,2,0)</f>
        <v>Vinculado</v>
      </c>
      <c r="D38" s="153"/>
      <c r="E38" s="152"/>
      <c r="F38" s="153"/>
      <c r="G38" s="153"/>
      <c r="H38" s="153"/>
      <c r="I38" s="153"/>
      <c r="J38" s="153"/>
      <c r="K38" s="153"/>
      <c r="L38" s="153"/>
      <c r="M38" s="151"/>
      <c r="N38" s="152"/>
      <c r="O38" s="152"/>
      <c r="P38" s="152"/>
      <c r="Q38" s="152"/>
      <c r="R38" s="152"/>
      <c r="S38" s="152"/>
      <c r="T38" s="152"/>
      <c r="U38" s="152"/>
      <c r="V38" s="152"/>
    </row>
    <row r="39" spans="1:22" x14ac:dyDescent="0.25">
      <c r="A39" s="332"/>
      <c r="B39" s="175" t="str">
        <f>+'ODS Analisis'!B9</f>
        <v>Educación de Calidad</v>
      </c>
      <c r="C39" s="173" t="str">
        <f>VLOOKUP('ODS Analisis'!$E9,'Auxiliar 2'!$B$26:$C$27,2,0)</f>
        <v>Vinculado</v>
      </c>
      <c r="D39" s="153"/>
      <c r="E39" s="152"/>
      <c r="F39" s="153"/>
      <c r="G39" s="153"/>
      <c r="H39" s="153"/>
      <c r="I39" s="153"/>
      <c r="J39" s="153"/>
      <c r="K39" s="153"/>
      <c r="L39" s="153"/>
      <c r="M39" s="151"/>
      <c r="N39" s="152"/>
      <c r="O39" s="152"/>
      <c r="P39" s="152"/>
      <c r="Q39" s="152"/>
      <c r="R39" s="152"/>
      <c r="S39" s="152"/>
      <c r="T39" s="152"/>
      <c r="U39" s="152"/>
      <c r="V39" s="152"/>
    </row>
    <row r="40" spans="1:22" ht="25.5" x14ac:dyDescent="0.25">
      <c r="A40" s="332"/>
      <c r="B40" s="175" t="str">
        <f>+'ODS Analisis'!B10</f>
        <v>Igualdad de genero y oportunidades</v>
      </c>
      <c r="C40" s="173" t="str">
        <f>VLOOKUP('ODS Analisis'!$E10,'Auxiliar 2'!$B$26:$C$27,2,0)</f>
        <v>Vinculado</v>
      </c>
      <c r="D40" s="153"/>
      <c r="E40" s="152"/>
      <c r="F40" s="153"/>
      <c r="G40" s="153"/>
      <c r="H40" s="153"/>
      <c r="I40" s="153"/>
      <c r="J40" s="153"/>
      <c r="K40" s="153"/>
      <c r="L40" s="153"/>
      <c r="M40" s="151"/>
      <c r="N40" s="152"/>
      <c r="O40" s="152"/>
      <c r="P40" s="152"/>
      <c r="Q40" s="152"/>
      <c r="R40" s="152"/>
      <c r="S40" s="152"/>
      <c r="T40" s="152"/>
      <c r="U40" s="152"/>
      <c r="V40" s="152"/>
    </row>
    <row r="41" spans="1:22" ht="25.5" x14ac:dyDescent="0.25">
      <c r="A41" s="332"/>
      <c r="B41" s="175" t="str">
        <f>+'ODS Analisis'!B11</f>
        <v>Acceso al agua limpia y saneamiento</v>
      </c>
      <c r="C41" s="173" t="str">
        <f>VLOOKUP('ODS Analisis'!$E11,'Auxiliar 2'!$B$26:$C$27,2,0)</f>
        <v>NO vinculado</v>
      </c>
      <c r="D41" s="153"/>
      <c r="E41" s="152"/>
      <c r="F41" s="153"/>
      <c r="G41" s="153"/>
      <c r="H41" s="153"/>
      <c r="I41" s="153"/>
      <c r="J41" s="153"/>
      <c r="K41" s="153"/>
      <c r="L41" s="153"/>
      <c r="M41" s="151"/>
      <c r="N41" s="152"/>
      <c r="O41" s="152"/>
      <c r="P41" s="152"/>
      <c r="Q41" s="152"/>
      <c r="R41" s="152"/>
      <c r="S41" s="152"/>
      <c r="T41" s="152"/>
      <c r="U41" s="152"/>
      <c r="V41" s="152"/>
    </row>
    <row r="42" spans="1:22" ht="25.5" x14ac:dyDescent="0.25">
      <c r="A42" s="332"/>
      <c r="B42" s="175" t="str">
        <f>+'ODS Analisis'!B12</f>
        <v>Energía asequible y no contaminante</v>
      </c>
      <c r="C42" s="173" t="str">
        <f>VLOOKUP('ODS Analisis'!$E12,'Auxiliar 2'!$B$26:$C$27,2,0)</f>
        <v>NO vinculado</v>
      </c>
      <c r="D42" s="153"/>
      <c r="E42" s="152"/>
      <c r="F42" s="153"/>
      <c r="G42" s="153"/>
      <c r="H42" s="153"/>
      <c r="I42" s="153"/>
      <c r="J42" s="153"/>
      <c r="K42" s="153"/>
      <c r="L42" s="153"/>
      <c r="M42" s="151"/>
      <c r="N42" s="152"/>
      <c r="O42" s="152"/>
      <c r="P42" s="152"/>
      <c r="Q42" s="152"/>
      <c r="R42" s="152"/>
      <c r="S42" s="152"/>
      <c r="T42" s="152"/>
      <c r="U42" s="152"/>
      <c r="V42" s="152"/>
    </row>
    <row r="43" spans="1:22" ht="25.5" x14ac:dyDescent="0.25">
      <c r="A43" s="332"/>
      <c r="B43" s="175" t="str">
        <f>+'ODS Analisis'!B13</f>
        <v>Trabajo decente y crecimiento económico</v>
      </c>
      <c r="C43" s="173" t="str">
        <f>VLOOKUP('ODS Analisis'!$E13,'Auxiliar 2'!$B$26:$C$27,2,0)</f>
        <v>NO vinculado</v>
      </c>
      <c r="D43" s="153"/>
      <c r="E43" s="152"/>
      <c r="F43" s="153"/>
      <c r="G43" s="153"/>
      <c r="H43" s="153"/>
      <c r="I43" s="153"/>
      <c r="J43" s="153"/>
      <c r="K43" s="153"/>
      <c r="L43" s="153"/>
      <c r="M43" s="151"/>
      <c r="N43" s="152"/>
      <c r="O43" s="152"/>
      <c r="P43" s="152"/>
      <c r="Q43" s="152"/>
      <c r="R43" s="152"/>
      <c r="S43" s="152"/>
      <c r="T43" s="152"/>
      <c r="U43" s="152"/>
      <c r="V43" s="152"/>
    </row>
    <row r="44" spans="1:22" ht="25.5" x14ac:dyDescent="0.25">
      <c r="A44" s="332"/>
      <c r="B44" s="175" t="str">
        <f>+'ODS Analisis'!B14</f>
        <v xml:space="preserve">Industria, Innovación e Infraestructura </v>
      </c>
      <c r="C44" s="173" t="str">
        <f>VLOOKUP('ODS Analisis'!$E14,'Auxiliar 2'!$B$26:$C$27,2,0)</f>
        <v>NO vinculado</v>
      </c>
      <c r="D44" s="153"/>
      <c r="E44" s="152"/>
      <c r="F44" s="153"/>
      <c r="G44" s="153"/>
      <c r="H44" s="153"/>
      <c r="I44" s="153"/>
      <c r="J44" s="153"/>
      <c r="K44" s="153"/>
      <c r="L44" s="153"/>
      <c r="M44" s="151"/>
      <c r="N44" s="152"/>
      <c r="O44" s="152"/>
      <c r="P44" s="152"/>
      <c r="Q44" s="152"/>
      <c r="R44" s="152"/>
      <c r="S44" s="152"/>
      <c r="T44" s="152"/>
      <c r="U44" s="152"/>
      <c r="V44" s="152"/>
    </row>
    <row r="45" spans="1:22" ht="25.5" x14ac:dyDescent="0.25">
      <c r="A45" s="332"/>
      <c r="B45" s="175" t="str">
        <f>+'ODS Analisis'!B15</f>
        <v>Reducir la desigualdad en y entre los países.</v>
      </c>
      <c r="C45" s="173" t="str">
        <f>VLOOKUP('ODS Analisis'!$E15,'Auxiliar 2'!$B$26:$C$27,2,0)</f>
        <v>Vinculado</v>
      </c>
      <c r="D45" s="153"/>
      <c r="E45" s="152"/>
      <c r="F45" s="153"/>
      <c r="G45" s="153"/>
      <c r="H45" s="153"/>
      <c r="I45" s="153"/>
      <c r="J45" s="153"/>
      <c r="K45" s="153"/>
      <c r="L45" s="153"/>
      <c r="M45" s="151"/>
      <c r="N45" s="152"/>
      <c r="O45" s="152"/>
      <c r="P45" s="152"/>
      <c r="Q45" s="152"/>
      <c r="R45" s="152"/>
      <c r="S45" s="152"/>
      <c r="T45" s="152"/>
      <c r="U45" s="152"/>
      <c r="V45" s="152"/>
    </row>
    <row r="46" spans="1:22" ht="25.5" x14ac:dyDescent="0.25">
      <c r="A46" s="332"/>
      <c r="B46" s="175" t="str">
        <f>+'ODS Analisis'!B16</f>
        <v>Ciudades y comunidades sostenibles</v>
      </c>
      <c r="C46" s="173" t="str">
        <f>VLOOKUP('ODS Analisis'!$E16,'Auxiliar 2'!$B$26:$C$27,2,0)</f>
        <v>NO vinculado</v>
      </c>
      <c r="D46" s="153"/>
      <c r="E46" s="152"/>
      <c r="F46" s="153"/>
      <c r="G46" s="153"/>
      <c r="H46" s="153"/>
      <c r="I46" s="153"/>
      <c r="J46" s="153"/>
      <c r="K46" s="153"/>
      <c r="L46" s="153"/>
      <c r="M46" s="151"/>
      <c r="N46" s="152"/>
      <c r="O46" s="152"/>
      <c r="P46" s="152"/>
      <c r="Q46" s="152"/>
      <c r="R46" s="152"/>
      <c r="S46" s="152"/>
      <c r="T46" s="152"/>
      <c r="U46" s="152"/>
      <c r="V46" s="152"/>
    </row>
    <row r="47" spans="1:22" ht="25.5" x14ac:dyDescent="0.25">
      <c r="A47" s="332"/>
      <c r="B47" s="175" t="str">
        <f>+'ODS Analisis'!B17</f>
        <v>Producción y consumo responsables</v>
      </c>
      <c r="C47" s="173" t="str">
        <f>VLOOKUP('ODS Analisis'!$E17,'Auxiliar 2'!$B$26:$C$27,2,0)</f>
        <v>NO vinculado</v>
      </c>
      <c r="D47" s="153"/>
      <c r="E47" s="152"/>
      <c r="F47" s="153"/>
      <c r="G47" s="153"/>
      <c r="H47" s="153"/>
      <c r="I47" s="153"/>
      <c r="J47" s="153"/>
      <c r="K47" s="153"/>
      <c r="L47" s="153"/>
      <c r="M47" s="151"/>
      <c r="N47" s="152"/>
      <c r="O47" s="152"/>
      <c r="P47" s="152"/>
      <c r="Q47" s="152"/>
      <c r="R47" s="152"/>
      <c r="S47" s="152"/>
      <c r="T47" s="152"/>
      <c r="U47" s="152"/>
      <c r="V47" s="152"/>
    </row>
    <row r="48" spans="1:22" x14ac:dyDescent="0.25">
      <c r="A48" s="332"/>
      <c r="B48" s="175" t="str">
        <f>+'ODS Analisis'!B18</f>
        <v>Acción por el Clima</v>
      </c>
      <c r="C48" s="173" t="str">
        <f>VLOOKUP('ODS Analisis'!$E18,'Auxiliar 2'!$B$26:$C$27,2,0)</f>
        <v>Vinculado</v>
      </c>
      <c r="D48" s="153"/>
      <c r="E48" s="152"/>
      <c r="F48" s="153"/>
      <c r="G48" s="153"/>
      <c r="H48" s="153"/>
      <c r="I48" s="153"/>
      <c r="J48" s="153"/>
      <c r="K48" s="153"/>
      <c r="L48" s="153"/>
      <c r="M48" s="151"/>
      <c r="N48" s="152"/>
      <c r="O48" s="152"/>
      <c r="P48" s="152"/>
      <c r="Q48" s="152"/>
      <c r="R48" s="152"/>
      <c r="S48" s="152"/>
      <c r="T48" s="152"/>
      <c r="U48" s="152"/>
      <c r="V48" s="152"/>
    </row>
    <row r="49" spans="1:22" x14ac:dyDescent="0.25">
      <c r="A49" s="332"/>
      <c r="B49" s="175" t="str">
        <f>+'ODS Analisis'!B19</f>
        <v>Recursos marinos</v>
      </c>
      <c r="C49" s="173" t="str">
        <f>VLOOKUP('ODS Analisis'!$E19,'Auxiliar 2'!$B$26:$C$27,2,0)</f>
        <v>NO vinculado</v>
      </c>
      <c r="D49" s="153"/>
      <c r="E49" s="152"/>
      <c r="F49" s="153"/>
      <c r="G49" s="153"/>
      <c r="H49" s="153"/>
      <c r="I49" s="153"/>
      <c r="J49" s="153"/>
      <c r="K49" s="153"/>
      <c r="L49" s="153"/>
      <c r="M49" s="151"/>
      <c r="N49" s="152"/>
      <c r="O49" s="152"/>
      <c r="P49" s="152"/>
      <c r="Q49" s="152"/>
      <c r="R49" s="152"/>
      <c r="S49" s="152"/>
      <c r="T49" s="152"/>
      <c r="U49" s="152"/>
      <c r="V49" s="152"/>
    </row>
    <row r="50" spans="1:22" ht="25.5" x14ac:dyDescent="0.25">
      <c r="A50" s="332"/>
      <c r="B50" s="175" t="str">
        <f>+'ODS Analisis'!B20</f>
        <v>Vida de los ecosistemas terrestres</v>
      </c>
      <c r="C50" s="173" t="str">
        <f>VLOOKUP('ODS Analisis'!$E20,'Auxiliar 2'!$B$26:$C$27,2,0)</f>
        <v>Vinculado</v>
      </c>
      <c r="D50" s="153"/>
      <c r="E50" s="152"/>
      <c r="F50" s="153"/>
      <c r="G50" s="153"/>
      <c r="H50" s="153"/>
      <c r="I50" s="153"/>
      <c r="J50" s="153"/>
      <c r="K50" s="153"/>
      <c r="L50" s="153"/>
      <c r="M50" s="151"/>
      <c r="N50" s="152"/>
      <c r="O50" s="152"/>
      <c r="P50" s="152"/>
      <c r="Q50" s="152"/>
      <c r="R50" s="152"/>
      <c r="S50" s="152"/>
      <c r="T50" s="152"/>
      <c r="U50" s="152"/>
      <c r="V50" s="152"/>
    </row>
    <row r="51" spans="1:22" ht="25.5" x14ac:dyDescent="0.25">
      <c r="A51" s="332"/>
      <c r="B51" s="175" t="str">
        <f>+'ODS Analisis'!B21</f>
        <v>Paz, justicia e instituciones solidas</v>
      </c>
      <c r="C51" s="173" t="str">
        <f>VLOOKUP('ODS Analisis'!$E21,'Auxiliar 2'!$B$26:$C$27,2,0)</f>
        <v>Vinculado</v>
      </c>
      <c r="D51" s="153"/>
      <c r="E51" s="152"/>
      <c r="F51" s="153"/>
      <c r="G51" s="153"/>
      <c r="H51" s="153"/>
      <c r="I51" s="153"/>
      <c r="J51" s="153"/>
      <c r="K51" s="153"/>
      <c r="L51" s="153"/>
      <c r="M51" s="151"/>
      <c r="N51" s="152"/>
      <c r="O51" s="152"/>
      <c r="P51" s="152"/>
      <c r="Q51" s="152"/>
      <c r="R51" s="152"/>
      <c r="S51" s="152"/>
      <c r="T51" s="152"/>
      <c r="U51" s="152"/>
      <c r="V51" s="152"/>
    </row>
    <row r="52" spans="1:22" ht="25.5" x14ac:dyDescent="0.25">
      <c r="A52" s="333"/>
      <c r="B52" s="175" t="str">
        <f>+'ODS Analisis'!B22</f>
        <v>Alianza para lograr los objetivos</v>
      </c>
      <c r="C52" s="173" t="str">
        <f>VLOOKUP('ODS Analisis'!$E22,'Auxiliar 2'!$B$26:$C$27,2,0)</f>
        <v>NO vinculado</v>
      </c>
      <c r="D52" s="153"/>
      <c r="E52" s="152"/>
      <c r="F52" s="153"/>
      <c r="G52" s="153"/>
      <c r="H52" s="153"/>
      <c r="I52" s="153"/>
      <c r="J52" s="153"/>
      <c r="K52" s="153"/>
      <c r="L52" s="153"/>
      <c r="M52" s="151"/>
      <c r="N52" s="152"/>
      <c r="O52" s="152"/>
      <c r="P52" s="152"/>
      <c r="Q52" s="152"/>
      <c r="R52" s="152"/>
      <c r="S52" s="152"/>
      <c r="T52" s="152"/>
      <c r="U52" s="152"/>
      <c r="V52" s="152"/>
    </row>
    <row r="53" spans="1:22" x14ac:dyDescent="0.25">
      <c r="A53" s="172"/>
      <c r="B53" s="172"/>
      <c r="C53" s="151"/>
      <c r="D53" s="153"/>
      <c r="E53" s="152"/>
      <c r="F53" s="153"/>
      <c r="G53" s="153"/>
      <c r="H53" s="153"/>
      <c r="I53" s="153"/>
      <c r="J53" s="153"/>
      <c r="K53" s="153"/>
      <c r="L53" s="153"/>
      <c r="M53" s="151"/>
      <c r="N53" s="152"/>
      <c r="O53" s="152"/>
      <c r="P53" s="152"/>
      <c r="Q53" s="152"/>
      <c r="R53" s="152"/>
      <c r="S53" s="152"/>
      <c r="T53" s="152"/>
      <c r="U53" s="152"/>
      <c r="V53" s="152"/>
    </row>
  </sheetData>
  <mergeCells count="16">
    <mergeCell ref="A36:A52"/>
    <mergeCell ref="A35:C35"/>
    <mergeCell ref="A15:C15"/>
    <mergeCell ref="A12:C12"/>
    <mergeCell ref="A9:C9"/>
    <mergeCell ref="A16:A17"/>
    <mergeCell ref="A18:A20"/>
    <mergeCell ref="A25:B25"/>
    <mergeCell ref="A26:A27"/>
    <mergeCell ref="A28:A30"/>
    <mergeCell ref="A21:A24"/>
    <mergeCell ref="A6:C6"/>
    <mergeCell ref="A4:C4"/>
    <mergeCell ref="A2:C2"/>
    <mergeCell ref="A1:C1"/>
    <mergeCell ref="A31:A34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B2028-5441-495F-AD1E-567BC138FF87}">
  <dimension ref="B1:H67"/>
  <sheetViews>
    <sheetView workbookViewId="0">
      <selection activeCell="B62" sqref="B62:B67"/>
    </sheetView>
  </sheetViews>
  <sheetFormatPr baseColWidth="10" defaultRowHeight="15" x14ac:dyDescent="0.25"/>
  <cols>
    <col min="1" max="1" width="3.42578125" customWidth="1"/>
    <col min="2" max="2" width="17.140625" customWidth="1"/>
    <col min="3" max="3" width="9.28515625" style="3" customWidth="1"/>
    <col min="4" max="4" width="17.28515625" customWidth="1"/>
    <col min="5" max="5" width="33.85546875" customWidth="1"/>
    <col min="6" max="6" width="25.7109375" customWidth="1"/>
    <col min="7" max="7" width="29.7109375" customWidth="1"/>
    <col min="8" max="8" width="26.42578125" customWidth="1"/>
  </cols>
  <sheetData>
    <row r="1" spans="2:8" ht="15.75" thickBot="1" x14ac:dyDescent="0.3">
      <c r="F1" s="4" t="s">
        <v>112</v>
      </c>
      <c r="G1" s="11" t="s">
        <v>113</v>
      </c>
      <c r="H1" s="4" t="s">
        <v>114</v>
      </c>
    </row>
    <row r="2" spans="2:8" ht="15.75" thickBot="1" x14ac:dyDescent="0.3">
      <c r="B2" s="311" t="s">
        <v>28</v>
      </c>
      <c r="C2" s="296" t="s">
        <v>1</v>
      </c>
      <c r="D2" s="296" t="s">
        <v>2</v>
      </c>
      <c r="E2" s="309" t="s">
        <v>29</v>
      </c>
      <c r="F2" s="25" t="s">
        <v>30</v>
      </c>
      <c r="G2" s="25" t="s">
        <v>30</v>
      </c>
      <c r="H2" s="25" t="s">
        <v>30</v>
      </c>
    </row>
    <row r="3" spans="2:8" ht="45.75" thickBot="1" x14ac:dyDescent="0.3">
      <c r="B3" s="311"/>
      <c r="C3" s="296"/>
      <c r="D3" s="296"/>
      <c r="E3" s="309"/>
      <c r="F3" s="24" t="s">
        <v>9</v>
      </c>
      <c r="G3" s="24" t="s">
        <v>9</v>
      </c>
      <c r="H3" s="24" t="s">
        <v>9</v>
      </c>
    </row>
    <row r="4" spans="2:8" x14ac:dyDescent="0.25">
      <c r="B4" s="302"/>
      <c r="C4" s="302">
        <v>1</v>
      </c>
      <c r="D4" s="303" t="s">
        <v>3</v>
      </c>
      <c r="E4" s="27" t="s">
        <v>31</v>
      </c>
      <c r="F4" s="29">
        <v>0.5</v>
      </c>
      <c r="G4" s="29">
        <v>0.5</v>
      </c>
      <c r="H4" s="29">
        <v>0.5</v>
      </c>
    </row>
    <row r="5" spans="2:8" x14ac:dyDescent="0.25">
      <c r="B5" s="299"/>
      <c r="C5" s="299"/>
      <c r="D5" s="301"/>
      <c r="E5" s="30" t="s">
        <v>32</v>
      </c>
      <c r="F5" s="32">
        <v>0.5</v>
      </c>
      <c r="G5" s="32">
        <v>0.5</v>
      </c>
      <c r="H5" s="32">
        <v>0.5</v>
      </c>
    </row>
    <row r="6" spans="2:8" x14ac:dyDescent="0.25">
      <c r="B6" s="30" t="s">
        <v>33</v>
      </c>
      <c r="C6" s="31"/>
      <c r="D6" s="30"/>
      <c r="E6" s="30"/>
      <c r="F6" s="30"/>
      <c r="G6" s="30"/>
      <c r="H6" s="30"/>
    </row>
    <row r="7" spans="2:8" x14ac:dyDescent="0.25">
      <c r="B7" s="30" t="s">
        <v>7</v>
      </c>
      <c r="C7" s="31"/>
      <c r="D7" s="30"/>
      <c r="E7" s="30"/>
      <c r="F7" s="32">
        <v>0.2</v>
      </c>
      <c r="G7" s="32">
        <v>0.2</v>
      </c>
      <c r="H7" s="32">
        <v>0.2</v>
      </c>
    </row>
    <row r="8" spans="2:8" x14ac:dyDescent="0.25">
      <c r="B8" s="33" t="s">
        <v>8</v>
      </c>
      <c r="C8" s="34"/>
      <c r="D8" s="33"/>
      <c r="E8" s="33"/>
      <c r="F8" s="33"/>
      <c r="G8" s="33"/>
      <c r="H8" s="33"/>
    </row>
    <row r="9" spans="2:8" ht="45" x14ac:dyDescent="0.25">
      <c r="B9" s="35"/>
      <c r="C9" s="36">
        <v>2</v>
      </c>
      <c r="D9" s="297" t="s">
        <v>4</v>
      </c>
      <c r="E9" s="41" t="s">
        <v>106</v>
      </c>
      <c r="F9" s="38">
        <v>0.2</v>
      </c>
      <c r="G9" s="38">
        <v>0.2</v>
      </c>
      <c r="H9" s="38">
        <v>0.2</v>
      </c>
    </row>
    <row r="10" spans="2:8" ht="45" x14ac:dyDescent="0.25">
      <c r="B10" s="39"/>
      <c r="C10" s="40"/>
      <c r="D10" s="298"/>
      <c r="E10" s="41" t="s">
        <v>107</v>
      </c>
      <c r="F10" s="42">
        <v>0.4</v>
      </c>
      <c r="G10" s="42">
        <v>0.4</v>
      </c>
      <c r="H10" s="42">
        <v>0.4</v>
      </c>
    </row>
    <row r="11" spans="2:8" x14ac:dyDescent="0.25">
      <c r="B11" s="39"/>
      <c r="C11" s="40"/>
      <c r="D11" s="39"/>
      <c r="E11" s="39" t="s">
        <v>108</v>
      </c>
      <c r="F11" s="42">
        <v>0.4</v>
      </c>
      <c r="G11" s="42">
        <v>0.4</v>
      </c>
      <c r="H11" s="42">
        <v>0.4</v>
      </c>
    </row>
    <row r="12" spans="2:8" x14ac:dyDescent="0.25">
      <c r="B12" s="39" t="s">
        <v>33</v>
      </c>
      <c r="C12" s="40"/>
      <c r="D12" s="39"/>
      <c r="E12" s="39"/>
      <c r="F12" s="40"/>
      <c r="G12" s="40"/>
      <c r="H12" s="40"/>
    </row>
    <row r="13" spans="2:8" x14ac:dyDescent="0.25">
      <c r="B13" s="39" t="s">
        <v>7</v>
      </c>
      <c r="C13" s="40"/>
      <c r="D13" s="39"/>
      <c r="E13" s="39"/>
      <c r="F13" s="42">
        <v>0.2</v>
      </c>
      <c r="G13" s="42">
        <v>0.2</v>
      </c>
      <c r="H13" s="42">
        <v>0.2</v>
      </c>
    </row>
    <row r="14" spans="2:8" x14ac:dyDescent="0.25">
      <c r="B14" s="43" t="s">
        <v>8</v>
      </c>
      <c r="C14" s="44"/>
      <c r="D14" s="43"/>
      <c r="E14" s="43"/>
      <c r="F14" s="44"/>
      <c r="G14" s="44"/>
      <c r="H14" s="44"/>
    </row>
    <row r="15" spans="2:8" ht="30" customHeight="1" x14ac:dyDescent="0.25">
      <c r="B15" s="299"/>
      <c r="C15" s="299">
        <v>3</v>
      </c>
      <c r="D15" s="300" t="s">
        <v>5</v>
      </c>
      <c r="E15" s="45" t="s">
        <v>34</v>
      </c>
      <c r="F15" s="47">
        <v>0.15</v>
      </c>
      <c r="G15" s="47">
        <v>0.15</v>
      </c>
      <c r="H15" s="47">
        <v>0.1</v>
      </c>
    </row>
    <row r="16" spans="2:8" x14ac:dyDescent="0.25">
      <c r="B16" s="299"/>
      <c r="C16" s="299"/>
      <c r="D16" s="301"/>
      <c r="E16" s="30" t="s">
        <v>20</v>
      </c>
      <c r="F16" s="32">
        <v>0.25</v>
      </c>
      <c r="G16" s="32">
        <v>0.25</v>
      </c>
      <c r="H16" s="32">
        <v>0.25</v>
      </c>
    </row>
    <row r="17" spans="2:8" x14ac:dyDescent="0.25">
      <c r="B17" s="299"/>
      <c r="C17" s="299"/>
      <c r="D17" s="301"/>
      <c r="E17" s="30" t="s">
        <v>19</v>
      </c>
      <c r="F17" s="32">
        <v>0.1</v>
      </c>
      <c r="G17" s="32">
        <v>0.1</v>
      </c>
      <c r="H17" s="32">
        <v>0.1</v>
      </c>
    </row>
    <row r="18" spans="2:8" x14ac:dyDescent="0.25">
      <c r="B18" s="293"/>
      <c r="C18" s="293"/>
      <c r="D18" s="301"/>
      <c r="E18" s="30" t="s">
        <v>18</v>
      </c>
      <c r="F18" s="32">
        <v>0.3</v>
      </c>
      <c r="G18" s="32">
        <v>0.3</v>
      </c>
      <c r="H18" s="32">
        <v>0.25</v>
      </c>
    </row>
    <row r="19" spans="2:8" ht="45" x14ac:dyDescent="0.25">
      <c r="B19" s="30"/>
      <c r="C19" s="31"/>
      <c r="D19" s="30" t="s">
        <v>35</v>
      </c>
      <c r="E19" s="48" t="s">
        <v>21</v>
      </c>
      <c r="F19" s="32">
        <v>0.2</v>
      </c>
      <c r="G19" s="32">
        <v>0.2</v>
      </c>
      <c r="H19" s="32">
        <v>0.3</v>
      </c>
    </row>
    <row r="20" spans="2:8" x14ac:dyDescent="0.25">
      <c r="B20" s="30" t="s">
        <v>33</v>
      </c>
      <c r="C20" s="31"/>
      <c r="D20" s="30"/>
      <c r="E20" s="30"/>
      <c r="F20" s="30"/>
      <c r="G20" s="30"/>
      <c r="H20" s="30"/>
    </row>
    <row r="21" spans="2:8" x14ac:dyDescent="0.25">
      <c r="B21" s="30" t="s">
        <v>7</v>
      </c>
      <c r="C21" s="31"/>
      <c r="D21" s="30"/>
      <c r="E21" s="30"/>
      <c r="F21" s="32">
        <v>0.2</v>
      </c>
      <c r="G21" s="32">
        <v>0.2</v>
      </c>
      <c r="H21" s="32">
        <v>0.2</v>
      </c>
    </row>
    <row r="22" spans="2:8" x14ac:dyDescent="0.25">
      <c r="B22" s="33" t="s">
        <v>8</v>
      </c>
      <c r="C22" s="34"/>
      <c r="D22" s="33"/>
      <c r="E22" s="33"/>
      <c r="F22" s="33"/>
      <c r="G22" s="33"/>
      <c r="H22" s="33"/>
    </row>
    <row r="23" spans="2:8" ht="30" x14ac:dyDescent="0.25">
      <c r="B23" s="285"/>
      <c r="C23" s="285">
        <v>4</v>
      </c>
      <c r="D23" s="292" t="s">
        <v>36</v>
      </c>
      <c r="E23" s="37" t="s">
        <v>37</v>
      </c>
      <c r="F23" s="38">
        <v>0.5</v>
      </c>
      <c r="G23" s="38">
        <v>0.5</v>
      </c>
      <c r="H23" s="38">
        <v>0.5</v>
      </c>
    </row>
    <row r="24" spans="2:8" ht="30" x14ac:dyDescent="0.25">
      <c r="B24" s="286"/>
      <c r="C24" s="286"/>
      <c r="D24" s="287"/>
      <c r="E24" s="41" t="s">
        <v>109</v>
      </c>
      <c r="F24" s="42">
        <v>0.5</v>
      </c>
      <c r="G24" s="42">
        <v>0.5</v>
      </c>
      <c r="H24" s="42">
        <v>0.5</v>
      </c>
    </row>
    <row r="25" spans="2:8" x14ac:dyDescent="0.25">
      <c r="B25" s="39" t="s">
        <v>33</v>
      </c>
      <c r="C25" s="40"/>
      <c r="D25" s="39"/>
      <c r="E25" s="41"/>
      <c r="F25" s="42"/>
      <c r="G25" s="42"/>
      <c r="H25" s="42"/>
    </row>
    <row r="26" spans="2:8" x14ac:dyDescent="0.25">
      <c r="B26" s="39" t="s">
        <v>7</v>
      </c>
      <c r="C26" s="40"/>
      <c r="D26" s="39"/>
      <c r="E26" s="39"/>
      <c r="F26" s="42">
        <v>0.1</v>
      </c>
      <c r="G26" s="42">
        <v>0.1</v>
      </c>
      <c r="H26" s="42">
        <v>0.1</v>
      </c>
    </row>
    <row r="27" spans="2:8" x14ac:dyDescent="0.25">
      <c r="B27" s="43" t="s">
        <v>8</v>
      </c>
      <c r="C27" s="44"/>
      <c r="D27" s="43"/>
      <c r="E27" s="43"/>
      <c r="F27" s="43"/>
      <c r="G27" s="43"/>
      <c r="H27" s="43"/>
    </row>
    <row r="28" spans="2:8" ht="30" x14ac:dyDescent="0.25">
      <c r="B28" s="293"/>
      <c r="C28" s="293">
        <v>5</v>
      </c>
      <c r="D28" s="293" t="s">
        <v>228</v>
      </c>
      <c r="E28" s="49" t="s">
        <v>39</v>
      </c>
      <c r="F28" s="47">
        <v>0.1</v>
      </c>
      <c r="G28" s="47">
        <v>0.1</v>
      </c>
      <c r="H28" s="47">
        <v>0.6</v>
      </c>
    </row>
    <row r="29" spans="2:8" x14ac:dyDescent="0.25">
      <c r="B29" s="294"/>
      <c r="C29" s="294"/>
      <c r="D29" s="294"/>
      <c r="E29" s="30" t="s">
        <v>22</v>
      </c>
      <c r="F29" s="32">
        <v>0.3</v>
      </c>
      <c r="G29" s="32">
        <v>0.3</v>
      </c>
      <c r="H29" s="32">
        <v>0.2</v>
      </c>
    </row>
    <row r="30" spans="2:8" ht="45" x14ac:dyDescent="0.25">
      <c r="B30" s="294"/>
      <c r="C30" s="294"/>
      <c r="D30" s="294"/>
      <c r="E30" s="48" t="s">
        <v>110</v>
      </c>
      <c r="F30" s="32">
        <v>0.6</v>
      </c>
      <c r="G30" s="32">
        <v>0.6</v>
      </c>
      <c r="H30" s="32">
        <v>0.2</v>
      </c>
    </row>
    <row r="31" spans="2:8" x14ac:dyDescent="0.25">
      <c r="B31" s="30" t="s">
        <v>33</v>
      </c>
      <c r="C31" s="31"/>
      <c r="D31" s="30"/>
      <c r="E31" s="30"/>
      <c r="F31" s="31"/>
      <c r="G31" s="31"/>
      <c r="H31" s="31"/>
    </row>
    <row r="32" spans="2:8" x14ac:dyDescent="0.25">
      <c r="B32" s="30" t="s">
        <v>7</v>
      </c>
      <c r="C32" s="31"/>
      <c r="D32" s="30"/>
      <c r="E32" s="30"/>
      <c r="F32" s="32">
        <v>0.2</v>
      </c>
      <c r="G32" s="32">
        <v>0.2</v>
      </c>
      <c r="H32" s="32">
        <v>0.2</v>
      </c>
    </row>
    <row r="33" spans="2:8" x14ac:dyDescent="0.25">
      <c r="B33" s="33" t="s">
        <v>8</v>
      </c>
      <c r="C33" s="34"/>
      <c r="D33" s="33"/>
      <c r="E33" s="33"/>
      <c r="F33" s="34"/>
      <c r="G33" s="34"/>
      <c r="H33" s="34"/>
    </row>
    <row r="34" spans="2:8" ht="30" x14ac:dyDescent="0.25">
      <c r="B34" s="285"/>
      <c r="C34" s="285">
        <v>6</v>
      </c>
      <c r="D34" s="285" t="s">
        <v>6</v>
      </c>
      <c r="E34" s="37" t="s">
        <v>25</v>
      </c>
      <c r="F34" s="38">
        <v>0.15</v>
      </c>
      <c r="G34" s="38">
        <v>0.15</v>
      </c>
      <c r="H34" s="38">
        <v>0.15</v>
      </c>
    </row>
    <row r="35" spans="2:8" ht="30" x14ac:dyDescent="0.25">
      <c r="B35" s="286"/>
      <c r="C35" s="286"/>
      <c r="D35" s="286"/>
      <c r="E35" s="41" t="s">
        <v>26</v>
      </c>
      <c r="F35" s="42">
        <v>0.35</v>
      </c>
      <c r="G35" s="42">
        <v>0.35</v>
      </c>
      <c r="H35" s="42">
        <v>0.35</v>
      </c>
    </row>
    <row r="36" spans="2:8" ht="30" x14ac:dyDescent="0.25">
      <c r="B36" s="286"/>
      <c r="C36" s="286"/>
      <c r="D36" s="286"/>
      <c r="E36" s="41" t="s">
        <v>23</v>
      </c>
      <c r="F36" s="42">
        <v>0.15</v>
      </c>
      <c r="G36" s="42">
        <v>0.15</v>
      </c>
      <c r="H36" s="42">
        <v>0.35</v>
      </c>
    </row>
    <row r="37" spans="2:8" x14ac:dyDescent="0.25">
      <c r="B37" s="286"/>
      <c r="C37" s="286"/>
      <c r="D37" s="39"/>
      <c r="E37" s="41" t="s">
        <v>24</v>
      </c>
      <c r="F37" s="42">
        <v>0.35</v>
      </c>
      <c r="G37" s="42">
        <v>0.35</v>
      </c>
      <c r="H37" s="42">
        <v>0.15</v>
      </c>
    </row>
    <row r="38" spans="2:8" x14ac:dyDescent="0.25">
      <c r="B38" s="39" t="s">
        <v>33</v>
      </c>
      <c r="C38" s="40"/>
      <c r="D38" s="39"/>
      <c r="E38" s="39"/>
      <c r="F38" s="39"/>
      <c r="G38" s="39"/>
      <c r="H38" s="39"/>
    </row>
    <row r="39" spans="2:8" x14ac:dyDescent="0.25">
      <c r="B39" s="39" t="s">
        <v>7</v>
      </c>
      <c r="C39" s="40"/>
      <c r="D39" s="39"/>
      <c r="E39" s="39"/>
      <c r="F39" s="42">
        <f>1-(F32+F26+F21+F13+F7)</f>
        <v>0.10000000000000009</v>
      </c>
      <c r="G39" s="42">
        <f>1-(G32+G26+G21+G13+G7)</f>
        <v>0.10000000000000009</v>
      </c>
      <c r="H39" s="42">
        <f>1-(H32+H26+H21+H13+H7)</f>
        <v>0.10000000000000009</v>
      </c>
    </row>
    <row r="40" spans="2:8" x14ac:dyDescent="0.25">
      <c r="B40" s="50" t="s">
        <v>8</v>
      </c>
      <c r="C40" s="51"/>
      <c r="D40" s="50"/>
      <c r="E40" s="50"/>
      <c r="F40" s="50"/>
      <c r="G40" s="50"/>
      <c r="H40" s="50"/>
    </row>
    <row r="41" spans="2:8" ht="15.75" thickBot="1" x14ac:dyDescent="0.3">
      <c r="B41" s="22"/>
      <c r="C41" s="26"/>
      <c r="D41" s="22" t="s">
        <v>27</v>
      </c>
      <c r="E41" s="22"/>
      <c r="F41" s="26" t="s">
        <v>40</v>
      </c>
      <c r="G41" s="26" t="s">
        <v>40</v>
      </c>
      <c r="H41" s="26" t="s">
        <v>40</v>
      </c>
    </row>
    <row r="42" spans="2:8" ht="15.75" thickTop="1" x14ac:dyDescent="0.25">
      <c r="F42" s="3" t="str">
        <f>+F1</f>
        <v>ENERGIA</v>
      </c>
      <c r="G42" s="3" t="str">
        <f t="shared" ref="G42:H42" si="0">+G1</f>
        <v>BOSQUES Y USO DE SUELOS</v>
      </c>
      <c r="H42" s="3" t="str">
        <f t="shared" si="0"/>
        <v>AGRICULTURA</v>
      </c>
    </row>
    <row r="43" spans="2:8" ht="60" x14ac:dyDescent="0.25">
      <c r="C43" s="285">
        <v>4</v>
      </c>
      <c r="D43" s="292" t="s">
        <v>36</v>
      </c>
      <c r="E43" s="37"/>
      <c r="F43" s="105" t="s">
        <v>37</v>
      </c>
      <c r="G43" s="106" t="s">
        <v>150</v>
      </c>
      <c r="H43" s="106" t="s">
        <v>151</v>
      </c>
    </row>
    <row r="44" spans="2:8" ht="45" x14ac:dyDescent="0.25">
      <c r="C44" s="286"/>
      <c r="D44" s="287"/>
      <c r="E44" s="41"/>
      <c r="F44" s="107" t="s">
        <v>109</v>
      </c>
      <c r="G44" s="106" t="s">
        <v>149</v>
      </c>
      <c r="H44" s="106" t="s">
        <v>152</v>
      </c>
    </row>
    <row r="45" spans="2:8" ht="180" x14ac:dyDescent="0.25">
      <c r="F45" s="98" t="s">
        <v>146</v>
      </c>
      <c r="G45" s="98" t="s">
        <v>159</v>
      </c>
      <c r="H45" s="98" t="s">
        <v>160</v>
      </c>
    </row>
    <row r="46" spans="2:8" ht="150" x14ac:dyDescent="0.25">
      <c r="F46" s="98" t="s">
        <v>137</v>
      </c>
      <c r="G46" s="104" t="s">
        <v>158</v>
      </c>
      <c r="H46" s="98" t="s">
        <v>155</v>
      </c>
    </row>
    <row r="47" spans="2:8" ht="150" x14ac:dyDescent="0.25">
      <c r="C47" s="293">
        <v>5</v>
      </c>
      <c r="D47" s="293" t="s">
        <v>38</v>
      </c>
      <c r="E47" s="49" t="s">
        <v>39</v>
      </c>
      <c r="F47" s="98" t="s">
        <v>164</v>
      </c>
      <c r="G47" s="98" t="s">
        <v>163</v>
      </c>
      <c r="H47" s="93" t="s">
        <v>162</v>
      </c>
    </row>
    <row r="48" spans="2:8" ht="75" x14ac:dyDescent="0.25">
      <c r="C48" s="294"/>
      <c r="D48" s="294"/>
      <c r="E48" s="30" t="s">
        <v>22</v>
      </c>
      <c r="F48" s="98" t="s">
        <v>153</v>
      </c>
      <c r="G48" s="98" t="s">
        <v>153</v>
      </c>
      <c r="H48" s="98" t="s">
        <v>154</v>
      </c>
    </row>
    <row r="49" spans="2:8" ht="240" x14ac:dyDescent="0.25">
      <c r="C49" s="294"/>
      <c r="D49" s="294"/>
      <c r="E49" s="48" t="s">
        <v>110</v>
      </c>
      <c r="F49" s="98" t="s">
        <v>157</v>
      </c>
      <c r="G49" s="93" t="s">
        <v>156</v>
      </c>
      <c r="H49" s="98" t="s">
        <v>161</v>
      </c>
    </row>
    <row r="50" spans="2:8" ht="75" x14ac:dyDescent="0.25">
      <c r="C50" s="336">
        <v>6</v>
      </c>
      <c r="D50" s="285" t="s">
        <v>6</v>
      </c>
      <c r="E50" s="37" t="s">
        <v>25</v>
      </c>
      <c r="F50" s="98" t="s">
        <v>171</v>
      </c>
      <c r="G50" s="93" t="s">
        <v>165</v>
      </c>
      <c r="H50" s="98" t="s">
        <v>169</v>
      </c>
    </row>
    <row r="51" spans="2:8" ht="135" x14ac:dyDescent="0.25">
      <c r="C51" s="337"/>
      <c r="D51" s="286"/>
      <c r="E51" s="41" t="s">
        <v>26</v>
      </c>
      <c r="F51" s="98" t="s">
        <v>172</v>
      </c>
      <c r="G51" s="93" t="s">
        <v>166</v>
      </c>
      <c r="H51" s="98" t="s">
        <v>168</v>
      </c>
    </row>
    <row r="52" spans="2:8" ht="135" x14ac:dyDescent="0.25">
      <c r="C52" s="337"/>
      <c r="D52" s="286"/>
      <c r="E52" s="41" t="s">
        <v>23</v>
      </c>
      <c r="F52" s="98" t="s">
        <v>173</v>
      </c>
      <c r="G52" s="93" t="s">
        <v>167</v>
      </c>
      <c r="H52" s="98" t="s">
        <v>170</v>
      </c>
    </row>
    <row r="53" spans="2:8" x14ac:dyDescent="0.25">
      <c r="B53" t="s">
        <v>121</v>
      </c>
    </row>
    <row r="54" spans="2:8" x14ac:dyDescent="0.25">
      <c r="B54" t="s">
        <v>122</v>
      </c>
    </row>
    <row r="55" spans="2:8" x14ac:dyDescent="0.25">
      <c r="B55" t="s">
        <v>123</v>
      </c>
    </row>
    <row r="56" spans="2:8" x14ac:dyDescent="0.25">
      <c r="B56" t="s">
        <v>124</v>
      </c>
    </row>
    <row r="57" spans="2:8" x14ac:dyDescent="0.25">
      <c r="B57" t="s">
        <v>125</v>
      </c>
    </row>
    <row r="58" spans="2:8" x14ac:dyDescent="0.25">
      <c r="B58" t="s">
        <v>126</v>
      </c>
    </row>
    <row r="59" spans="2:8" x14ac:dyDescent="0.25">
      <c r="B59" t="s">
        <v>127</v>
      </c>
    </row>
    <row r="60" spans="2:8" x14ac:dyDescent="0.25">
      <c r="B60" t="s">
        <v>128</v>
      </c>
    </row>
    <row r="62" spans="2:8" x14ac:dyDescent="0.25">
      <c r="B62">
        <v>0</v>
      </c>
    </row>
    <row r="63" spans="2:8" x14ac:dyDescent="0.25">
      <c r="B63">
        <v>1</v>
      </c>
    </row>
    <row r="64" spans="2:8" x14ac:dyDescent="0.25">
      <c r="B64">
        <v>2</v>
      </c>
    </row>
    <row r="65" spans="2:2" x14ac:dyDescent="0.25">
      <c r="B65">
        <v>3</v>
      </c>
    </row>
    <row r="66" spans="2:2" x14ac:dyDescent="0.25">
      <c r="B66">
        <v>4</v>
      </c>
    </row>
    <row r="67" spans="2:2" x14ac:dyDescent="0.25">
      <c r="B67">
        <v>5</v>
      </c>
    </row>
  </sheetData>
  <mergeCells count="26">
    <mergeCell ref="B2:B3"/>
    <mergeCell ref="C2:C3"/>
    <mergeCell ref="D2:D3"/>
    <mergeCell ref="E2:E3"/>
    <mergeCell ref="B4:B5"/>
    <mergeCell ref="C4:C5"/>
    <mergeCell ref="D4:D5"/>
    <mergeCell ref="D9:D10"/>
    <mergeCell ref="B15:B18"/>
    <mergeCell ref="C15:C18"/>
    <mergeCell ref="D15:D18"/>
    <mergeCell ref="B23:B24"/>
    <mergeCell ref="C23:C24"/>
    <mergeCell ref="D23:D24"/>
    <mergeCell ref="B28:B30"/>
    <mergeCell ref="C28:C30"/>
    <mergeCell ref="D28:D30"/>
    <mergeCell ref="B34:B37"/>
    <mergeCell ref="C34:C37"/>
    <mergeCell ref="D34:D36"/>
    <mergeCell ref="C43:C44"/>
    <mergeCell ref="D43:D44"/>
    <mergeCell ref="C47:C49"/>
    <mergeCell ref="D47:D49"/>
    <mergeCell ref="D50:D52"/>
    <mergeCell ref="C50:C52"/>
  </mergeCells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226EF16AD11E4BBAC796BC9FB75DAA" ma:contentTypeVersion="15" ma:contentTypeDescription="Crear nuevo documento." ma:contentTypeScope="" ma:versionID="f6428058b9affbc341743ee8710d98b4">
  <xsd:schema xmlns:xsd="http://www.w3.org/2001/XMLSchema" xmlns:xs="http://www.w3.org/2001/XMLSchema" xmlns:p="http://schemas.microsoft.com/office/2006/metadata/properties" xmlns:ns2="d79aef3c-c771-4f08-8605-bf759c814d00" xmlns:ns3="25e3545c-095b-42d8-8174-a31685ccbf7c" targetNamespace="http://schemas.microsoft.com/office/2006/metadata/properties" ma:root="true" ma:fieldsID="94c312296c4e2e24e41fd2eb2c78c6c6" ns2:_="" ns3:_="">
    <xsd:import namespace="d79aef3c-c771-4f08-8605-bf759c814d00"/>
    <xsd:import namespace="25e3545c-095b-42d8-8174-a31685ccbf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aef3c-c771-4f08-8605-bf759c814d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85698878-b331-436b-83d6-e56cb59965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3545c-095b-42d8-8174-a31685ccbf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4c7dc51-5688-4b45-9190-e1db8dc79966}" ma:internalName="TaxCatchAll" ma:showField="CatchAllData" ma:web="25e3545c-095b-42d8-8174-a31685ccbf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e3545c-095b-42d8-8174-a31685ccbf7c" xsi:nil="true"/>
    <lcf76f155ced4ddcb4097134ff3c332f xmlns="d79aef3c-c771-4f08-8605-bf759c814d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B4F887-FBDD-4478-AB3C-6ECF27368B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9aef3c-c771-4f08-8605-bf759c814d00"/>
    <ds:schemaRef ds:uri="25e3545c-095b-42d8-8174-a31685ccbf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4973F9-E286-4660-8322-11E7BB04DB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BE24D5-2CF0-4C3C-8C0B-349E9B3266E5}">
  <ds:schemaRefs>
    <ds:schemaRef ds:uri="http://schemas.microsoft.com/office/2006/metadata/properties"/>
    <ds:schemaRef ds:uri="http://schemas.microsoft.com/office/infopath/2007/PartnerControls"/>
    <ds:schemaRef ds:uri="25e3545c-095b-42d8-8174-a31685ccbf7c"/>
    <ds:schemaRef ds:uri="d79aef3c-c771-4f08-8605-bf759c814d0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LEAME</vt:lpstr>
      <vt:lpstr>Datos Entrada</vt:lpstr>
      <vt:lpstr>ODS Analisis</vt:lpstr>
      <vt:lpstr>Criterios inversion</vt:lpstr>
      <vt:lpstr>ODS</vt:lpstr>
      <vt:lpstr>Politica Financiera</vt:lpstr>
      <vt:lpstr>Nivel de Riesgo</vt:lpstr>
      <vt:lpstr>Evaluacion Preliminar</vt:lpstr>
      <vt:lpstr>Auxiliar</vt:lpstr>
      <vt:lpstr>Auxiliar 2</vt:lpstr>
      <vt:lpstr>Obj Des Sost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Blanca Rengifo</cp:lastModifiedBy>
  <cp:lastPrinted>2020-11-14T14:34:00Z</cp:lastPrinted>
  <dcterms:created xsi:type="dcterms:W3CDTF">2020-11-09T10:29:34Z</dcterms:created>
  <dcterms:modified xsi:type="dcterms:W3CDTF">2024-11-23T18:33:58Z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0x010100A1226EF16AD11E4BBAC796BC9FB75DAA</vt:lpwstr>
  </property>
</Properties>
</file>