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ncarengifo/Desktop/Pipeline de proyectos/"/>
    </mc:Choice>
  </mc:AlternateContent>
  <xr:revisionPtr revIDLastSave="0" documentId="13_ncr:1_{A3F0A81E-F964-A047-BBB9-3C8A57056BAC}" xr6:coauthVersionLast="47" xr6:coauthVersionMax="47" xr10:uidLastSave="{00000000-0000-0000-0000-000000000000}"/>
  <bookViews>
    <workbookView xWindow="4660" yWindow="660" windowWidth="21920" windowHeight="14560" tabRatio="872" xr2:uid="{00000000-000D-0000-FFFF-FFFF00000000}"/>
  </bookViews>
  <sheets>
    <sheet name="LEAME" sheetId="18" r:id="rId1"/>
    <sheet name="Datos Entrada" sheetId="22" r:id="rId2"/>
    <sheet name="ODS Analisis" sheetId="23" r:id="rId3"/>
    <sheet name="Criterios inversion" sheetId="2" r:id="rId4"/>
    <sheet name="ODS" sheetId="1" state="hidden" r:id="rId5"/>
    <sheet name="Politica Financiera" sheetId="3" r:id="rId6"/>
    <sheet name="Nivel de Riesgo" sheetId="14" r:id="rId7"/>
    <sheet name="Evaluacion Preliminar" sheetId="26" r:id="rId8"/>
    <sheet name="Auxiliar" sheetId="20" r:id="rId9"/>
    <sheet name="Auxiliar 2" sheetId="27" r:id="rId10"/>
    <sheet name="Obj Des Sost" sheetId="21" r:id="rId11"/>
  </sheets>
  <externalReferences>
    <externalReference r:id="rId12"/>
  </externalReferences>
  <definedNames>
    <definedName name="_xlnm._FilterDatabase" localSheetId="8" hidden="1">Auxiliar!$C$2:$F$37</definedName>
    <definedName name="_xlnm._FilterDatabase" localSheetId="3" hidden="1">'Criterios inversion'!$C$2:$G$37</definedName>
    <definedName name="at_50.1_da_população_do_município">LEAME!$D$34</definedName>
    <definedName name="Elevation">[1]Hoja5!$D$51</definedName>
    <definedName name="Latitude">[1]Hoja5!$D$49</definedName>
    <definedName name="Longitude">[1]Hoja5!$D$50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2" l="1"/>
  <c r="E4" i="23"/>
  <c r="C8" i="26"/>
  <c r="L30" i="18" s="1"/>
  <c r="C5" i="26"/>
  <c r="B5" i="26"/>
  <c r="C7" i="26"/>
  <c r="C17" i="26" l="1"/>
  <c r="C32" i="26"/>
  <c r="C34" i="26"/>
  <c r="L29" i="18"/>
  <c r="E21" i="3"/>
  <c r="E19" i="3"/>
  <c r="E18" i="3"/>
  <c r="E17" i="3"/>
  <c r="G2" i="2"/>
  <c r="E24" i="2"/>
  <c r="E23" i="2"/>
  <c r="E18" i="22"/>
  <c r="H25" i="22"/>
  <c r="H24" i="22"/>
  <c r="H22" i="22"/>
  <c r="H21" i="22"/>
  <c r="H20" i="22"/>
  <c r="H18" i="22"/>
  <c r="H32" i="18"/>
  <c r="H33" i="18"/>
  <c r="H35" i="18"/>
  <c r="H36" i="18"/>
  <c r="H39" i="18"/>
  <c r="H40" i="18"/>
  <c r="H41" i="18"/>
  <c r="H42" i="18"/>
  <c r="H43" i="18"/>
  <c r="N27" i="18"/>
  <c r="M27" i="18"/>
  <c r="C22" i="3"/>
  <c r="E20" i="3"/>
  <c r="E16" i="3"/>
  <c r="D13" i="3"/>
  <c r="H37" i="27"/>
  <c r="I37" i="27"/>
  <c r="H38" i="27"/>
  <c r="I38" i="27"/>
  <c r="H39" i="27"/>
  <c r="I39" i="27"/>
  <c r="I40" i="27"/>
  <c r="H41" i="27"/>
  <c r="I41" i="27"/>
  <c r="C17" i="3"/>
  <c r="C18" i="3"/>
  <c r="G39" i="27"/>
  <c r="C19" i="3" s="1"/>
  <c r="G40" i="27"/>
  <c r="G41" i="27"/>
  <c r="C21" i="3" s="1"/>
  <c r="C40" i="27"/>
  <c r="C41" i="27"/>
  <c r="C37" i="27"/>
  <c r="C38" i="27"/>
  <c r="C39" i="27"/>
  <c r="C36" i="27"/>
  <c r="C35" i="27"/>
  <c r="C20" i="3" l="1"/>
  <c r="C16" i="3"/>
  <c r="M47" i="18"/>
  <c r="M48" i="18"/>
  <c r="M46" i="18"/>
  <c r="M45" i="18"/>
  <c r="C37" i="26"/>
  <c r="C38" i="26"/>
  <c r="C39" i="26"/>
  <c r="C40" i="26"/>
  <c r="C45" i="26"/>
  <c r="C48" i="26"/>
  <c r="C50" i="26"/>
  <c r="C51" i="26"/>
  <c r="C36" i="26"/>
  <c r="B50" i="26"/>
  <c r="B51" i="26"/>
  <c r="B52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36" i="26"/>
  <c r="C10" i="26"/>
  <c r="L32" i="18" s="1"/>
  <c r="B10" i="26"/>
  <c r="M32" i="18" s="1"/>
  <c r="C16" i="26"/>
  <c r="L27" i="18" s="1"/>
  <c r="E39" i="18"/>
  <c r="C11" i="26" s="1"/>
  <c r="L33" i="18" s="1"/>
  <c r="D39" i="18"/>
  <c r="B11" i="26" s="1"/>
  <c r="M33" i="18" s="1"/>
  <c r="C13" i="26"/>
  <c r="L35" i="18" s="1"/>
  <c r="C14" i="26"/>
  <c r="L36" i="18" s="1"/>
  <c r="B14" i="26"/>
  <c r="M36" i="18" s="1"/>
  <c r="B13" i="26"/>
  <c r="M35" i="18" s="1"/>
  <c r="J27" i="18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G35" i="2"/>
  <c r="G36" i="2"/>
  <c r="G37" i="2"/>
  <c r="G34" i="2"/>
  <c r="G29" i="2"/>
  <c r="G30" i="2"/>
  <c r="G28" i="2"/>
  <c r="G24" i="2"/>
  <c r="G23" i="2"/>
  <c r="G16" i="2"/>
  <c r="G17" i="2"/>
  <c r="G18" i="2"/>
  <c r="G19" i="2"/>
  <c r="G15" i="2"/>
  <c r="G10" i="2"/>
  <c r="G11" i="2"/>
  <c r="G9" i="2"/>
  <c r="G5" i="2"/>
  <c r="G4" i="2"/>
  <c r="G3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E4" i="1"/>
  <c r="I25" i="22"/>
  <c r="J25" i="22"/>
  <c r="K25" i="22"/>
  <c r="L25" i="22"/>
  <c r="M25" i="22"/>
  <c r="H26" i="22"/>
  <c r="I26" i="22"/>
  <c r="J26" i="22"/>
  <c r="K26" i="22"/>
  <c r="L26" i="22"/>
  <c r="M26" i="22"/>
  <c r="I24" i="22"/>
  <c r="J24" i="22"/>
  <c r="K24" i="22"/>
  <c r="L24" i="22"/>
  <c r="M24" i="22"/>
  <c r="I21" i="22"/>
  <c r="J21" i="22"/>
  <c r="K21" i="22"/>
  <c r="L21" i="22"/>
  <c r="M21" i="22"/>
  <c r="I22" i="22"/>
  <c r="J22" i="22"/>
  <c r="K22" i="22"/>
  <c r="L22" i="22"/>
  <c r="M22" i="22"/>
  <c r="M20" i="22"/>
  <c r="L20" i="22"/>
  <c r="K20" i="22"/>
  <c r="J20" i="22"/>
  <c r="I20" i="22"/>
  <c r="G42" i="20"/>
  <c r="H42" i="20"/>
  <c r="F42" i="20"/>
  <c r="F27" i="22"/>
  <c r="F26" i="22"/>
  <c r="F25" i="22"/>
  <c r="F24" i="22"/>
  <c r="F22" i="22"/>
  <c r="F21" i="22"/>
  <c r="F20" i="22"/>
  <c r="F18" i="22"/>
  <c r="F17" i="22"/>
  <c r="F15" i="22"/>
  <c r="F14" i="22"/>
  <c r="F13" i="22"/>
  <c r="F12" i="22"/>
  <c r="F11" i="22"/>
  <c r="F9" i="22"/>
  <c r="F8" i="22"/>
  <c r="F7" i="22"/>
  <c r="F5" i="22"/>
  <c r="F4" i="22"/>
  <c r="M18" i="22"/>
  <c r="L18" i="22"/>
  <c r="K18" i="22"/>
  <c r="J18" i="22"/>
  <c r="I18" i="22"/>
  <c r="M17" i="22"/>
  <c r="L17" i="22"/>
  <c r="K17" i="22"/>
  <c r="J17" i="22"/>
  <c r="I17" i="22"/>
  <c r="I2" i="22"/>
  <c r="J2" i="22" s="1"/>
  <c r="K2" i="22" s="1"/>
  <c r="L2" i="22" s="1"/>
  <c r="M2" i="2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F37" i="2"/>
  <c r="F36" i="2"/>
  <c r="F35" i="2"/>
  <c r="F34" i="2"/>
  <c r="F32" i="2"/>
  <c r="F30" i="2"/>
  <c r="F29" i="2"/>
  <c r="F28" i="2"/>
  <c r="F26" i="2"/>
  <c r="F24" i="2"/>
  <c r="F23" i="2"/>
  <c r="F21" i="2"/>
  <c r="F19" i="2"/>
  <c r="F18" i="2"/>
  <c r="F17" i="2"/>
  <c r="F16" i="2"/>
  <c r="F15" i="2"/>
  <c r="F13" i="2"/>
  <c r="F11" i="2"/>
  <c r="F10" i="2"/>
  <c r="F9" i="2"/>
  <c r="F7" i="2"/>
  <c r="F5" i="2"/>
  <c r="F4" i="2"/>
  <c r="H39" i="20"/>
  <c r="G39" i="20"/>
  <c r="F39" i="20"/>
  <c r="D22" i="3" l="1"/>
  <c r="D23" i="3" s="1"/>
  <c r="M49" i="18"/>
  <c r="E23" i="1"/>
  <c r="E24" i="1" s="1"/>
  <c r="L22" i="18" s="1"/>
  <c r="G12" i="2"/>
  <c r="H20" i="27" s="1"/>
  <c r="I20" i="27" s="1"/>
  <c r="L39" i="18" s="1"/>
  <c r="F39" i="2"/>
  <c r="G6" i="2"/>
  <c r="G8" i="2" l="1"/>
  <c r="H19" i="27"/>
  <c r="I19" i="27" s="1"/>
  <c r="L38" i="18" s="1"/>
  <c r="L21" i="18"/>
  <c r="D23" i="14"/>
  <c r="D24" i="14" s="1"/>
  <c r="L23" i="18" s="1"/>
  <c r="C5" i="3"/>
  <c r="G38" i="2"/>
  <c r="H24" i="27" s="1"/>
  <c r="I24" i="27" s="1"/>
  <c r="L43" i="18" s="1"/>
  <c r="G31" i="2"/>
  <c r="G25" i="2"/>
  <c r="G20" i="2"/>
  <c r="G14" i="2"/>
  <c r="G33" i="2" l="1"/>
  <c r="H23" i="27"/>
  <c r="I23" i="27" s="1"/>
  <c r="L42" i="18" s="1"/>
  <c r="G27" i="2"/>
  <c r="H22" i="27"/>
  <c r="I22" i="27" s="1"/>
  <c r="L41" i="18" s="1"/>
  <c r="G22" i="2"/>
  <c r="H21" i="27"/>
  <c r="I21" i="27" s="1"/>
  <c r="L40" i="18" s="1"/>
  <c r="G40" i="2"/>
  <c r="G41" i="2" l="1"/>
  <c r="L20" i="18" s="1"/>
  <c r="L24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QA</author>
  </authors>
  <commentList>
    <comment ref="H17" authorId="0" shapeId="0" xr:uid="{994321A3-FC18-4110-9C38-F39137321465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 projeto visa apoiar o maior número possível de pessoas e comunidades dependentes da floresta, cujos meios de subsistência desaparecem ou sofrem perdas não econômicas (patrimônio cultural, conhecimento indígena, identidade social/cultural) como resultado do desmatamento ou da degradação da floresta devido às mudanças climáticas.</t>
        </r>
      </text>
    </comment>
    <comment ref="E18" authorId="0" shapeId="0" xr:uid="{A80F7301-7BCC-4F0E-BA81-50023DD6763F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Apoiado por uma variedade de partes interessadas</t>
        </r>
      </text>
    </comment>
    <comment ref="H18" authorId="0" shapeId="0" xr:uid="{9EA47540-6554-4161-A1C8-562F6011B99B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Fontes alternativas de financiamento são buscadas para apoiar o desenvolvimento econômico e social do país e da população afetada. </t>
        </r>
      </text>
    </comment>
    <comment ref="H20" authorId="0" shapeId="0" xr:uid="{CBB8F1F4-9F31-4CCB-82F4-60FDAFCBD716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Busca-se a implementação de novos mecanismos institucionais, de governança ou de coordenação necessários para atingir o compromisso do país.</t>
        </r>
      </text>
    </comment>
    <comment ref="H21" authorId="0" shapeId="0" xr:uid="{634CDE26-D863-4774-B894-E334DEB014E9}">
      <text>
        <r>
          <rPr>
            <b/>
            <sz val="9"/>
            <color indexed="81"/>
            <rFont val="Tahoma"/>
            <family val="2"/>
          </rPr>
          <t>QA:</t>
        </r>
        <r>
          <rPr>
            <sz val="9"/>
            <color indexed="81"/>
            <rFont val="Tahoma"/>
            <family val="2"/>
          </rPr>
          <t xml:space="preserve">
Busca-se que ela seja considerada e priorizada nas NDCs, nos Programas Nacionais e nos Planos Nacionais de Adaptação.</t>
        </r>
      </text>
    </comment>
    <comment ref="H22" authorId="0" shapeId="0" xr:uid="{A29C8526-5CCE-4B33-934D-7247250EB7B7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Destina-se a apoiar a implementação de novos mecanismos institucionais, de governança ou de coordenação necessários para alcançar o compromisso do país; participação das partes interessadas, que envolve a demonstração de que o projeto/programa foi desenvolvido em consulta com organizações da sociedade civil e outras partes interessadas relevantes, com foco especial na igualdade de gênero</t>
        </r>
      </text>
    </comment>
    <comment ref="H24" authorId="0" shapeId="0" xr:uid="{D31CD099-7DD2-4B41-A182-3A6EC5A3A9EF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Ele busca identificar outras entidades que financiam intervenções semelhantes na mesma área geográfica.</t>
        </r>
      </text>
    </comment>
    <comment ref="H25" authorId="0" shapeId="0" xr:uid="{08758C39-E7FC-4A34-9B91-793C3573555F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 promoção de que a proteção, a restauração e o manejo sustentável das florestas geram demanda. A atividade tem o potencial de catalisar ou alavancar outros investimentos (cofinanciamento).</t>
        </r>
      </text>
    </comment>
    <comment ref="H26" authorId="0" shapeId="0" xr:uid="{46D41D8C-77BB-4D11-9DAE-F725B27266DB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Espera-se que o projeto/programa aplique boas práticas do setor e um grau de inovação, inclusive aquelas relevantes para os povos indígenas e as comunidades locais, e as melhores tecnologias de mercado.</t>
        </r>
      </text>
    </comment>
    <comment ref="H27" authorId="0" shapeId="0" xr:uid="{23B4FD7F-FE7C-4EE2-BBB1-8FF5C6CF0426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Busca-se o menor custo por tCO2 reduzido.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QA</author>
  </authors>
  <commentList>
    <comment ref="G2" authorId="0" shapeId="0" xr:uid="{578A121F-E577-4FBA-8295-F4BC85386988}">
      <text>
        <r>
          <rPr>
            <b/>
            <sz val="9"/>
            <color rgb="FF000000"/>
            <rFont val="Tahoma"/>
            <family val="2"/>
          </rPr>
          <t>QA: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Programa de Estrutura Estratégica para desenvolver uma agenda regional para a proteção de povos indígenas em isolamento voluntário e contato inicial (1ª fase do BID).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QA</author>
  </authors>
  <commentList>
    <comment ref="C8" authorId="0" shapeId="0" xr:uid="{CB581D11-6577-45E2-91F1-BD1072C943BC}">
      <text>
        <r>
          <rPr>
            <b/>
            <sz val="9"/>
            <color indexed="81"/>
            <rFont val="Tahoma"/>
            <family val="2"/>
          </rPr>
          <t>QA:</t>
        </r>
        <r>
          <rPr>
            <sz val="9"/>
            <color indexed="81"/>
            <rFont val="Tahoma"/>
            <family val="2"/>
          </rPr>
          <t xml:space="preserve">
&gt; 50,1% da população do Município</t>
        </r>
      </text>
    </comment>
    <comment ref="C32" authorId="0" shapeId="0" xr:uid="{F3B09E1C-BBBF-4B48-8EFD-0D0C5BF802EB}">
      <text>
        <r>
          <rPr>
            <b/>
            <sz val="9"/>
            <color indexed="81"/>
            <rFont val="Tahoma"/>
            <family val="2"/>
          </rPr>
          <t>QA:</t>
        </r>
        <r>
          <rPr>
            <sz val="9"/>
            <color indexed="81"/>
            <rFont val="Tahoma"/>
            <family val="2"/>
          </rPr>
          <t xml:space="preserve">
Médio ou parcial</t>
        </r>
      </text>
    </comment>
    <comment ref="C34" authorId="0" shapeId="0" xr:uid="{33E9DE87-37CE-4D1A-A214-935FA199CBA6}">
      <text>
        <r>
          <rPr>
            <b/>
            <sz val="9"/>
            <color indexed="81"/>
            <rFont val="Tahoma"/>
            <family val="2"/>
          </rPr>
          <t>QA:</t>
        </r>
        <r>
          <rPr>
            <sz val="9"/>
            <color indexed="81"/>
            <rFont val="Tahoma"/>
            <family val="2"/>
          </rPr>
          <t xml:space="preserve">
Baixa ou Baixa</t>
        </r>
      </text>
    </comment>
  </commentList>
</comments>
</file>

<file path=xl/sharedStrings.xml><?xml version="1.0" encoding="utf-8"?>
<sst xmlns="http://schemas.openxmlformats.org/spreadsheetml/2006/main" count="586" uniqueCount="398">
  <si>
    <t>Prioridades de Desarrollo sostenible</t>
  </si>
  <si>
    <t>Proyecto 1</t>
  </si>
  <si>
    <t>TOTAL</t>
  </si>
  <si>
    <t>Mitigacion</t>
  </si>
  <si>
    <t>Beneficios de Genero</t>
  </si>
  <si>
    <t>Beneficios Sociales</t>
  </si>
  <si>
    <t>Beneficios Ambientales</t>
  </si>
  <si>
    <t>Beneficios Económico</t>
  </si>
  <si>
    <t>Calificaciones Cumplimientos</t>
  </si>
  <si>
    <t>Alta</t>
  </si>
  <si>
    <t>Media</t>
  </si>
  <si>
    <t>Reputacional</t>
  </si>
  <si>
    <t>Alta = 1</t>
  </si>
  <si>
    <t>Sin Vinculacion</t>
  </si>
  <si>
    <t>Bienestar para todos</t>
  </si>
  <si>
    <t>Lucha contra la pobreza</t>
  </si>
  <si>
    <t>Lucha contra el hambre</t>
  </si>
  <si>
    <t>Acceso al agua</t>
  </si>
  <si>
    <t>Acceso a la energia</t>
  </si>
  <si>
    <t>Reducir la desigualdad en y entre los países.</t>
  </si>
  <si>
    <t>Garantizar modalidades de consumo y producción sostenibles.</t>
  </si>
  <si>
    <t>Crecimiento económico sostenido, inclusivo y sostenible</t>
  </si>
  <si>
    <t>Construir infraestructura resiliente/sostenible/innovadora</t>
  </si>
  <si>
    <t>Asentamientos humanos inclusivos, seguros, resilientes y sostenibles (migracion)</t>
  </si>
  <si>
    <t>Reduccion de emisiones de GEI</t>
  </si>
  <si>
    <t>Recursos marinos</t>
  </si>
  <si>
    <t>Proteger, restablecer y promover el uso sostenible de los ecosistemas terrestres</t>
  </si>
  <si>
    <t>Promover sociedades pacíficas e inclusivas/sostenible, acceso a la justicia para todos</t>
  </si>
  <si>
    <t>Fortalecer  la alianza mundial para el desarrollo sostenible</t>
  </si>
  <si>
    <t>Adaptacion</t>
  </si>
  <si>
    <t>X</t>
  </si>
  <si>
    <t>Vinculacion media (de seis a ocho tematicas)</t>
  </si>
  <si>
    <t>Vinculacion baja (menos de tres tematicas,)</t>
  </si>
  <si>
    <t>Vinculacion minima (de tres a cinco tematicas)</t>
  </si>
  <si>
    <t>Vincculacion alta (de nueve a 11 tematicas)</t>
  </si>
  <si>
    <t>Vinculacion muy alta ( mas de 11 tematicas)</t>
  </si>
  <si>
    <t>Innovación/Nuevas Practicas</t>
  </si>
  <si>
    <t>ENERGIA</t>
  </si>
  <si>
    <t>AGRICULTURA</t>
  </si>
  <si>
    <t>objetivos de desarrollo sostenible</t>
  </si>
  <si>
    <t>Cumplimiento</t>
  </si>
  <si>
    <t>Igualdad de genero y oportunidades</t>
  </si>
  <si>
    <t>Educacion de Calidad</t>
  </si>
  <si>
    <t>1,2, 7, 8 y 9</t>
  </si>
  <si>
    <t>11, 12, 13, 14, 15,</t>
  </si>
  <si>
    <t>Se busca el menor costo por tCO2 reducida</t>
  </si>
  <si>
    <t>Se busca que este considerado y sea una prioridad en los NDC, Programa Pais, Planes Nacionales de Adaptacion</t>
  </si>
  <si>
    <t>Busca lograr empleo pleno, inclusivo, productivo y un trabajo decente para todos, fomentando políticas que estimulen el espíritu empresarial y la creación de empleo, así como las medidas eficaces para erradicar el trabajo forzoso, la esclavitud y el tráfico humano.</t>
  </si>
  <si>
    <t xml:space="preserve">Busca reducir la brecha digital para garantizar el acceso igualitario a la información, el conocimiento, y promover la innovación y el emprendimiento. Promoción de industrias sostenibles y la inversión en investigación e innovación científicas. </t>
  </si>
  <si>
    <t>Vinculado</t>
  </si>
  <si>
    <t>Grado de Vinculacion</t>
  </si>
  <si>
    <t>Vinculacion</t>
  </si>
  <si>
    <t>Adaptación</t>
  </si>
  <si>
    <t>0 a 100 familias</t>
  </si>
  <si>
    <t>&gt; al 50.1% de la población del Municipio</t>
  </si>
  <si>
    <t>Vida útil</t>
  </si>
  <si>
    <t>Euros</t>
  </si>
  <si>
    <t>Apalancamiento financiero</t>
  </si>
  <si>
    <t>Capacidad de Cofinanciamiento</t>
  </si>
  <si>
    <t>Apoyo al desarrollo para responder a los efectos y riesgos climáticos</t>
  </si>
  <si>
    <t>Existe capacidad de implementación</t>
  </si>
  <si>
    <t>Sinergias entre sectores</t>
  </si>
  <si>
    <t>Costo por tonelada de CO2</t>
  </si>
  <si>
    <t>Existen acuerdo o compromiso del gobierno, sociedad civil y grupos vulnerables</t>
  </si>
  <si>
    <t>Incidencia en Políticas Publicas</t>
  </si>
  <si>
    <t>Interés de inversores privados</t>
  </si>
  <si>
    <t>Existe interés de fuentes alternativas de financiamiento</t>
  </si>
  <si>
    <t>Están alineados con las NDC</t>
  </si>
  <si>
    <t>de 5 ODS</t>
  </si>
  <si>
    <t>de 1 ODS</t>
  </si>
  <si>
    <t>de 17 ODS</t>
  </si>
  <si>
    <t>3, 4, 6, 10, 16 y 17</t>
  </si>
  <si>
    <t>de 6 ODS</t>
  </si>
  <si>
    <t>Energia</t>
  </si>
  <si>
    <t>Agricultura</t>
  </si>
  <si>
    <t>Uso de suelos</t>
  </si>
  <si>
    <t>CUMPLIMIENTO CON POLÍTICA FINANCIERA</t>
  </si>
  <si>
    <t>SELECIONE O SETOR</t>
  </si>
  <si>
    <t>NOME DO PROJETO</t>
  </si>
  <si>
    <t>OBJETIVO DO PROJETO</t>
  </si>
  <si>
    <t>BENEFICIÁRIOS DO PROJETO</t>
  </si>
  <si>
    <t>Localização do projeto</t>
  </si>
  <si>
    <t>Beneficiários diretos</t>
  </si>
  <si>
    <t>Beneficiários indiretos</t>
  </si>
  <si>
    <t>0 a 100 famílias</t>
  </si>
  <si>
    <t>INVESTIMENTO E MITIGAÇÃO ESTIMADOS</t>
  </si>
  <si>
    <t>Investimento estimado</t>
  </si>
  <si>
    <t>Emissões de GEE evitadas</t>
  </si>
  <si>
    <t>Custo por tCO2 reduzido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</si>
  <si>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/ano</t>
    </r>
  </si>
  <si>
    <t>IMPLEMENTAÇÃO E VIDA ÚTIL</t>
  </si>
  <si>
    <t>anos</t>
  </si>
  <si>
    <t xml:space="preserve">Implementação </t>
  </si>
  <si>
    <t>AVALIAÇÃO DO PROJETO</t>
  </si>
  <si>
    <t>Adequação dos critérios de investimento</t>
  </si>
  <si>
    <t>% Importância</t>
  </si>
  <si>
    <t>Coincidência com a política financeira</t>
  </si>
  <si>
    <t>Vinculação com os ODSs</t>
  </si>
  <si>
    <t>Nível de risco para o GCF</t>
  </si>
  <si>
    <t>Avaliação de cinco (5) pontos</t>
  </si>
  <si>
    <t>RESUMO DO PROJETO</t>
  </si>
  <si>
    <t>Área de resultados</t>
  </si>
  <si>
    <t>Impactos do projeto</t>
  </si>
  <si>
    <t>Aspectos financeiros</t>
  </si>
  <si>
    <t>Objetivos de gênero dos ODS = um</t>
  </si>
  <si>
    <t>Objetivos Sociais ODS = seis</t>
  </si>
  <si>
    <t>Objetivos Ambientais ODS = cinco</t>
  </si>
  <si>
    <t>Objetivos Econômicos ODS = cinco</t>
  </si>
  <si>
    <t>Vínculo ou relação com os Objetivos de Desenvolvimento Sustentável(ODS)</t>
  </si>
  <si>
    <t>Vinculado a:</t>
  </si>
  <si>
    <t>Avaliação</t>
  </si>
  <si>
    <t>Critério de número</t>
  </si>
  <si>
    <t>Critérios de investimento</t>
  </si>
  <si>
    <t>Subcritérios (para avaliação, consulte a explicação dos critérios e indicadores neste guia)</t>
  </si>
  <si>
    <t>Subcritérios de avaliação</t>
  </si>
  <si>
    <t>0=Nenhum impacto, 1=Muito baixo, 2=Baixo, 3=Médio, 4=Alto, 5=Muito alto</t>
  </si>
  <si>
    <t>Valor entre 0 e 5</t>
  </si>
  <si>
    <t>Sem impacto, SEM efeitos positivos ou negativos</t>
  </si>
  <si>
    <t xml:space="preserve">Impacto muito baixo ou mínimo </t>
  </si>
  <si>
    <t>Impacto baixo ou mínimo</t>
  </si>
  <si>
    <t>Impacto médio ou parcial</t>
  </si>
  <si>
    <t>Impacto alto ou relevante</t>
  </si>
  <si>
    <t>Busca-se a máxima mitigação ou redução de emissões</t>
  </si>
  <si>
    <t>Seu objetivo é apoiar a adaptação da população às mudanças climáticas, especialmente dos grupos vulneráveis.</t>
  </si>
  <si>
    <t>O projeto deve ter a capacidade de gerar mudanças em políticas públicas, regulamentações ou planejamento no país para maximizar a mitigação e a adaptação.</t>
  </si>
  <si>
    <t>O projeto deve ser capaz de atrair outros investidores e gerar interesse no mercado financeiro (bancos).</t>
  </si>
  <si>
    <t>O projeto tem o objetivo de apoiar o uso de novas tecnologias, formas modernas de fazer negócios, informações e conhecimento para apoiar o país.</t>
  </si>
  <si>
    <t>Seu objetivo é apoiar os ODS 1, 2, 7, 8 y 9</t>
  </si>
  <si>
    <t>Seu objetivo é apoiar os ODS 11, 12, 13, 14, y 15</t>
  </si>
  <si>
    <t>Seu objetivo é apoiar os ODS 3, 4, 6, 7, 10, 12, 16 y 17</t>
  </si>
  <si>
    <t>Seu objetivo é apoiar os ODS 5</t>
  </si>
  <si>
    <t>O objetivo é que, uma vez implementado, o projeto seja sustentável a longo prazo, replicável e preserve o conhecimento dos participantes.</t>
  </si>
  <si>
    <t>Custo por tonelada de CO2 reduzida</t>
  </si>
  <si>
    <t>Medidas transversais que favorecem sinergias entre setores</t>
  </si>
  <si>
    <t>Estratégia financeira do projeto (capacidade de cofinanciamento)</t>
  </si>
  <si>
    <t>Potencial de alavancagem financeira</t>
  </si>
  <si>
    <t>Acordo/compromisso do governo, da sociedade civil, das partes interessadas e dos grupos vulneráveis</t>
  </si>
  <si>
    <t>Alinhamento com as NDCs</t>
  </si>
  <si>
    <t>Participação das partes interessadas (capacidade de implementação)</t>
  </si>
  <si>
    <t>Alinhamento com as políticas nacionais (especialmente NDCs, Programas Nacionais, Planos Nacionais de Adaptação, etc.).</t>
  </si>
  <si>
    <t>As atividades em andamento, o impacto e os resultados do projeto são mantidos a longo prazo.</t>
  </si>
  <si>
    <t>Benefícios de gênero</t>
  </si>
  <si>
    <t>Benefícios sociais</t>
  </si>
  <si>
    <t>Benefícios ambientais</t>
  </si>
  <si>
    <t>Benefícios econômicos</t>
  </si>
  <si>
    <t>Inovação/Novas práticas</t>
  </si>
  <si>
    <t>Atração de investimentos privados/novos mercados/novos produtos financeiros</t>
  </si>
  <si>
    <t>Advocacia em instrumentos de política pública/Planejamento/Educação</t>
  </si>
  <si>
    <t>Impacto da mitigação</t>
  </si>
  <si>
    <t xml:space="preserve">Critérios de adaptação </t>
  </si>
  <si>
    <t>Impacto potencial</t>
  </si>
  <si>
    <t>Potencial de mudança de paradigma</t>
  </si>
  <si>
    <t>Potencial de desenvolvimento sustentável</t>
  </si>
  <si>
    <t>Estratégia de saída</t>
  </si>
  <si>
    <t>Necessidades dos beneficiários</t>
  </si>
  <si>
    <t>Envolvimento nacional</t>
  </si>
  <si>
    <t>Eficiência e eficácia financeira</t>
  </si>
  <si>
    <t>Prioridades de desenvolvimento sustentável</t>
  </si>
  <si>
    <t>Adaptação</t>
  </si>
  <si>
    <t>Mitigação</t>
  </si>
  <si>
    <t>Luta contra a pobreza</t>
  </si>
  <si>
    <t>Combate à fome</t>
  </si>
  <si>
    <t>Bem-estar para todos</t>
  </si>
  <si>
    <t>Educação de qualidade</t>
  </si>
  <si>
    <t>Igualdade de gênero e oportunidades iguais</t>
  </si>
  <si>
    <t>Acesso a água potável e saneamento básico</t>
  </si>
  <si>
    <t>Energia limpa e acessível</t>
  </si>
  <si>
    <t>Trabalho decente e crescimento econômico</t>
  </si>
  <si>
    <t xml:space="preserve">Indústria, inovação e infraestrutura </t>
  </si>
  <si>
    <t>Reduzir a desigualdade dentro dos países e entre eles.</t>
  </si>
  <si>
    <t>Cidades e comunidades sustentáveis</t>
  </si>
  <si>
    <t>Produção e consumo responsáveis</t>
  </si>
  <si>
    <t>Ações climáticas</t>
  </si>
  <si>
    <t>Recursos marinhos</t>
  </si>
  <si>
    <t>Vida dos ecossistemas terrestres</t>
  </si>
  <si>
    <t>Paz, justiça e instituições sólidas</t>
  </si>
  <si>
    <t>Parceria para atingir os objetivos</t>
  </si>
  <si>
    <t>Procura promover o comércio internacional e ajudar os países em desenvolvimento a aumentar as suas exportações, faz parte do desafio de alcançar um sistema comercial universal equitativo e baseado em regras que seja justo, aberto e beneficie a todos.</t>
  </si>
  <si>
    <t>Procura reduzir substancialmente todas as formas de violência e trabalhar com governos e comunidades para encontrar soluções duradouras para conflitos e insegurança. Fundamental para este processo é o fortalecimento do Estado de direito e a promoção dos direitos humanos, a redução do fluxo de armas ilícitas e a participação dos países em desenvolvimento nas instituições de governação global.</t>
  </si>
  <si>
    <t>Procura gerar um quadro para gerir e proteger de forma sustentável os ecossistemas marinhos e costeiros da poluição terrestre, bem como para abordar os impactos da acidificação dos oceanos. Melhorar a conservação e a utilização sustentável dos recursos oceânicos através do direito internacional, o que ajudará a mitigar alguns dos desafios que os oceanos enfrentam</t>
  </si>
  <si>
    <t>Procura reduzir a pegada ecológica através de uma mudança nos métodos de produção e consumo de bens e recursos. Gestão eficiente dos recursos naturais e meios de eliminação de resíduos tóxicos e poluentes. Incentivar indústrias, empresas e consumidores a reciclar e reduzir resíduos</t>
  </si>
  <si>
    <t>Procura melhorar a segurança e a sustentabilidade das cidades, garantir o acesso a habitação segura e acessível e a melhoria dos assentamentos marginais. Inclui também a realização de investimentos nos transportes públicos, a criação de áreas públicas verdes e a melhoria do planeamento e gestão urbana de uma forma participativa e inclusiva.</t>
  </si>
  <si>
    <t>Procura promover a inclusão económica de todos, independentemente do género, raça ou etnia. Estas incluem a melhoria da regulação e do controlo dos mercados e das instituições financeiras, incentivando a ajuda ao desenvolvimento e o investimento direto estrangeiro nas regiões que mais necessitam. Outro factor fundamental para colmatar esta distância é facilitar a migração e a mobilidade segura das pessoas.</t>
  </si>
  <si>
    <t>Busca investir para ampliar a infraestrutura e melhorar a tecnologia para ter energia limpa em todos os países em desenvolvimento, é um objetivo crucial que pode estimular o crescimento e ao mesmo tempo ajudar o meio ambiente, reduzindo assim a dependência de combustíveis fósseis</t>
  </si>
  <si>
    <t>Procura garantir água potável segura e acessível. Portanto, é necessário fazer investimentos adequados em infra-estruturas, fornecer instalações sanitárias e incentivar práticas de higiene, serviços de saneamento geridos de forma segura (com excretas adequadamente eliminadas ou tratadas).</t>
  </si>
  <si>
    <t>Procura garantir o acesso universal à saúde reprodutiva e sexual e conceder às mulheres direitos iguais no acesso aos recursos económicos, fontes de trabalho e o direito à propriedade de terras e outras propriedades. O empoderamento das mulheres e das raparigas tem um efeito multiplicador e ajuda a promover o crescimento económico e o desenvolvimento a nível mundial</t>
  </si>
  <si>
    <t> Procura garantir que todas as raparigas e rapazes concluam o ensino primário e secundário gratuito até 2030. Visa também proporcionar igualdade de acesso à formação técnica a preços acessíveis e eliminar as disparidades de género e de rendimento, além de alcançar o acesso universal ao ensino superior de qualidade.</t>
  </si>
  <si>
    <t>Buscar cobertura universal de saúde. Tem em conta as crescentes desigualdades económicas e sociais, a rápida urbanização, as ameaças ao clima e ao ambiente, a luta contínua contra o VIH e outras doenças infecciosas, e os novos problemas de saúde, como as doenças não transmissíveis.</t>
  </si>
  <si>
    <t>Procurar erradicar a pobreza em todas as suas formas continua a ser um dos principais desafios que a humanidade enfrenta. Isto exige que se concentre nos mais vulneráveis, aumentando o acesso a recursos e serviços básicos e apoiando as comunidades afetadas por conflitos e catástrofes relacionadas com o clima.</t>
  </si>
  <si>
    <t>Projeto 1</t>
  </si>
  <si>
    <t>Não vinculado</t>
  </si>
  <si>
    <t>Econômico</t>
  </si>
  <si>
    <t>Ambientais</t>
  </si>
  <si>
    <t>Sociais</t>
  </si>
  <si>
    <t>Econômicos</t>
  </si>
  <si>
    <t>Objetivos de Desenvolvimento Sustentável</t>
  </si>
  <si>
    <t xml:space="preserve">Número de Critério </t>
  </si>
  <si>
    <t>Critério de avaliação</t>
  </si>
  <si>
    <t>Critério de peso</t>
  </si>
  <si>
    <t>Critério de resultado</t>
  </si>
  <si>
    <t>AVALIAÇÃO FINAL CRITÉRIO DE INVESTIMENTO</t>
  </si>
  <si>
    <t>Classificação de 5</t>
  </si>
  <si>
    <t>Eficiência e eficácia</t>
  </si>
  <si>
    <t>Propriedade do país</t>
  </si>
  <si>
    <t>Potencial para un cambio de paradigma</t>
  </si>
  <si>
    <t>Beneficios Ambientais</t>
  </si>
  <si>
    <t>Beneficios Sociais</t>
  </si>
  <si>
    <t>Beneficios de Gênero</t>
  </si>
  <si>
    <t>Conformidade das qualificações</t>
  </si>
  <si>
    <t>Não está em conformidade</t>
  </si>
  <si>
    <t>Conformidade muito baixa</t>
  </si>
  <si>
    <t>Conformidade mínima</t>
  </si>
  <si>
    <t>Conformidade média</t>
  </si>
  <si>
    <t>Conformidade alta</t>
  </si>
  <si>
    <t>Conformidade total</t>
  </si>
  <si>
    <t>(*) Peso do critério = 0%, significa não aplicável.</t>
  </si>
  <si>
    <t>AVALIAÇÃO FINAL CRITÉRIO DE POLÍTICA FINANCEIRA</t>
  </si>
  <si>
    <t>Subcritério de avaliação Ecoeficiência</t>
  </si>
  <si>
    <t>Maximiza o uso de recursos renováveis e não renováveis</t>
  </si>
  <si>
    <t>Possibilidades de reciclagem e gerenciamento de resíduos.</t>
  </si>
  <si>
    <t>Otimização do espaço usado pelo projeto (solo)</t>
  </si>
  <si>
    <t>Otimiza o consumo de água</t>
  </si>
  <si>
    <t>Otimiza o consumo de energia</t>
  </si>
  <si>
    <t>Otimiza o consumo de matéria-prima</t>
  </si>
  <si>
    <t>Redução/otimização do uso de recursos (consumo) (*)</t>
  </si>
  <si>
    <t>Ecoeficiência</t>
  </si>
  <si>
    <t>Subcritério de avaliação Mudança de paradigma e contabilidade de concessões</t>
  </si>
  <si>
    <t>Rentabilidade</t>
  </si>
  <si>
    <t>Não há deslocamento de outros financiamentos</t>
  </si>
  <si>
    <t>Financiamento concessional mínimo</t>
  </si>
  <si>
    <t>Combinação de instrumentos de financiamento</t>
  </si>
  <si>
    <t>Contabilidade de subsídios (grant)</t>
  </si>
  <si>
    <t>Mudança de paradigma</t>
  </si>
  <si>
    <t>O projeto provocará mudanças nas políticas públicas, nas regulamentações ou no planejamento do país para maximizar a mitigação e a adaptação.</t>
  </si>
  <si>
    <t>Do ponto de vista da política financeira, é melhor que o projeto não exija fundos concessionais.</t>
  </si>
  <si>
    <t xml:space="preserve">O projeto é de interesse de outros financiadores? </t>
  </si>
  <si>
    <t xml:space="preserve">O projeto tem outras alternativas de financiamento? </t>
  </si>
  <si>
    <t xml:space="preserve">O projeto é lucrativo e tem capacidade de pagamento? </t>
  </si>
  <si>
    <t>Matriz de riscos</t>
  </si>
  <si>
    <t>Probabilidade de ocorrência</t>
  </si>
  <si>
    <t>Riscos</t>
  </si>
  <si>
    <t>Descrição</t>
  </si>
  <si>
    <t>Reputação:</t>
  </si>
  <si>
    <t>Sanções:</t>
  </si>
  <si>
    <t>Técnicas e operacionais:</t>
  </si>
  <si>
    <t>Percepção adversa do projeto, colocando em risco a reputação do GCF</t>
  </si>
  <si>
    <t>Ações ilegais ligadas ao projeto, tais como: sanções, embargos, lavagem de dinheiro, financiamento do terrorismo, etc.</t>
  </si>
  <si>
    <t xml:space="preserve">Falha e falta de medição e monitoramento das emissões reduzidas (ER). </t>
  </si>
  <si>
    <t xml:space="preserve">Falta de capacidade para implementar e operar o projeto.  </t>
  </si>
  <si>
    <t>Fatores de risco e medidas de mitigação</t>
  </si>
  <si>
    <t>Baixa</t>
  </si>
  <si>
    <t>Baixo/Nenhum = 5</t>
  </si>
  <si>
    <t>Mídia</t>
  </si>
  <si>
    <t>Mídia baixa = 4</t>
  </si>
  <si>
    <t>Mídia = 3</t>
  </si>
  <si>
    <t>Mídia 3</t>
  </si>
  <si>
    <t>Mídia alta = 2</t>
  </si>
  <si>
    <t>Impacto no projeto</t>
  </si>
  <si>
    <t>Sanções</t>
  </si>
  <si>
    <t>Técnicas e operacionais</t>
  </si>
  <si>
    <t>AVALIAÇÃO FINAL CRITÉRIO DE RISCO</t>
  </si>
  <si>
    <t>AVALIAÇÃO PRELIMINAR</t>
  </si>
  <si>
    <t>A ideia do projeto atende aos critérios de investimento e aos ODSs?</t>
  </si>
  <si>
    <t>Critérios</t>
  </si>
  <si>
    <t>Área de resultados do projeto</t>
  </si>
  <si>
    <t>Impacto na adaptação</t>
  </si>
  <si>
    <t>Investimento necessário</t>
  </si>
  <si>
    <t>Cronograma estimado do projeto</t>
  </si>
  <si>
    <t>Implementação</t>
  </si>
  <si>
    <t>Tempo de vida</t>
  </si>
  <si>
    <t>Resposta</t>
  </si>
  <si>
    <t>Áreas de resultados del proyecto/programa.</t>
  </si>
  <si>
    <t>Corresponder aos critérios e subcritérios de investimento climático</t>
  </si>
  <si>
    <t>O projeto tem impacto sobre a mitigação, adaptação ou ambos.</t>
  </si>
  <si>
    <t>O projeto tem o potencial de mudar paradigmas</t>
  </si>
  <si>
    <t>O projeto tem o potencial de apoiar o desenvolvimento sustentável e gerar os seguintes benefícios</t>
  </si>
  <si>
    <t>O impacto e os resultados do projeto são sustentados a longo prazo.</t>
  </si>
  <si>
    <t>Coincidência com os Objetivos de Desenvolvimento Sustentável (ODS)</t>
  </si>
  <si>
    <t>O projeto está vinculado ou apóia a realização dos Objetivos de Desenvolvimento Sustentável estabelecidos pelas Nações Unidas.</t>
  </si>
  <si>
    <t>NÃO vinculado</t>
  </si>
  <si>
    <t>Ele não tem</t>
  </si>
  <si>
    <t>Alta ou relevante</t>
  </si>
  <si>
    <t>Médio ou parcial</t>
  </si>
  <si>
    <t>Muito alto ou Muito alto</t>
  </si>
  <si>
    <t>Não tem</t>
  </si>
  <si>
    <t>Projeto 1 para avaliar</t>
  </si>
  <si>
    <t>Projeto 2 para avaliar</t>
  </si>
  <si>
    <t>Projeto 3 para avaliar</t>
  </si>
  <si>
    <t>Projeto 4 para avaliar</t>
  </si>
  <si>
    <t>Projeto 5 para avaliar</t>
  </si>
  <si>
    <t>Projeto 6 para avaliar</t>
  </si>
  <si>
    <t>Projeto 7 para avaliar</t>
  </si>
  <si>
    <t>Projeto 8 para avaliar</t>
  </si>
  <si>
    <t>Eficiência e Eficácia</t>
  </si>
  <si>
    <t>Medidas transversais que promovam sinergias entre setores</t>
  </si>
  <si>
    <t>Apropriação do País</t>
  </si>
  <si>
    <t>Acordo/Compromisso do governo, sociedade civil, stackeholders e grupos vulneráveis</t>
  </si>
  <si>
    <t>Alinhamento com NDCs</t>
  </si>
  <si>
    <t>Participação de atores relevantes (capacidade de implementação)</t>
  </si>
  <si>
    <t>Necessidades do beneficiário</t>
  </si>
  <si>
    <t>CRITÉRIOS DE INVESTIMENTO DE AVALIAÇÃO FINAL</t>
  </si>
  <si>
    <t>Critério de Avaliação</t>
  </si>
  <si>
    <t>Critério de Peso</t>
  </si>
  <si>
    <t>Critério de Resultado</t>
  </si>
  <si>
    <t>Número do critério</t>
  </si>
  <si>
    <t>Critério do Fundo Verde para o Clima</t>
  </si>
  <si>
    <t>Subcritérios (para avaliação ver a explicação dos critérios e indicadores neste guia)</t>
  </si>
  <si>
    <t>Subcritério de avaliação</t>
  </si>
  <si>
    <t>0=Sem impacto, 1=Muito baixo, 2=Baixo, 3=Médio, 4=Alto, 5=Muito alto</t>
  </si>
  <si>
    <t>Implicação Nacional</t>
  </si>
  <si>
    <t>Custo por tonelada de CO2 reduzido</t>
  </si>
  <si>
    <t>Disposição para financiar de fontes alternativas (Bancos/Setor Privado)</t>
  </si>
  <si>
    <t>Geração de oportunidades para comunidades e grupos vulneráveis</t>
  </si>
  <si>
    <t>As atividades em andamento, o impacto e os resultados do projeto são mantidos no longo prazo</t>
  </si>
  <si>
    <t>Benefícios Econômicos</t>
  </si>
  <si>
    <t>Benefícios Ambientais</t>
  </si>
  <si>
    <t>Benefícios Sociais</t>
  </si>
  <si>
    <t>Inovação/Novas Práticas</t>
  </si>
  <si>
    <t>Atração de investimento privado/Novos Mercados/Novos Produtos Financeiros</t>
  </si>
  <si>
    <t>Impacto nos instrumentos de políticas públicas/Planejamento/Educação</t>
  </si>
  <si>
    <t>Impacto na mitigação</t>
  </si>
  <si>
    <t>Critérios de adaptação</t>
  </si>
  <si>
    <t>FLORESTAS E USO DO SOLO</t>
  </si>
  <si>
    <t>Disposição para financiar com fontes alternativas (bancos/setor privado)</t>
  </si>
  <si>
    <t>O objetivo é gerar oportunidades de educação, saúde, emprego e recursos econômicos para uma melhor qualidade de vida para grupos ou comunidades vulneráveis.</t>
  </si>
  <si>
    <t>Espera-se que as partes interessadas relevantes, em especial as autoridades do setor, tenham aprovado e apoiado o projeto.</t>
  </si>
  <si>
    <t>Busca obter o consentimento livre, prévio e informado dos povos e comunidades indígenas que possam ser afetados pelo projeto e inclui mecanismos para a participação constante das partes interessadas.</t>
  </si>
  <si>
    <t>O projeto pretende ter capacidade de alavancagem financeira</t>
  </si>
  <si>
    <t>Procura-se que haja interesse de outras entidades em financiar ou co-financiar o projecto.</t>
  </si>
  <si>
    <t>Que a implementação do projeto apoie outros setores e gere crescimento econômico na área de intervenção.</t>
  </si>
  <si>
    <t>Espera-se que o projeto/programa aplique boas práticas do setor e um grau de inovação, inclusive aquelas relevantes para os povos indígenas e as comunidades locais, e as melhores tecnologias de mercado.</t>
  </si>
  <si>
    <t>A promoção é buscada para que a proteção, a restauração e o manejo sustentável das florestas gerem demanda. Que a atividade tem potencial para catalisar ou promover outros investimentos (cofinanciamento)</t>
  </si>
  <si>
    <t>Procura-se que existam outras entidades que financiem intervenções semelhantes na mesma área geográfica.</t>
  </si>
  <si>
    <t>Pretende apoiar a implementação de novos mecanismos institucionais, de governação ou de coordenação necessários para cumprir o compromisso do país; envolvimento das partes interessadas, que envolve a demonstração de que o projeto/programa foi desenvolvido em consulta com organizações da sociedade civil e outras partes interessadas relevantes, com especial atenção à igualdade de género</t>
  </si>
  <si>
    <t>Pretende-se que seja considerado e seja uma prioridade na NDC, Programa Nacional, Planos Nacionais de Adaptação</t>
  </si>
  <si>
    <t>Procura-se a implementação de novos mecanismos institucionais, de governação ou de coordenação necessários para alcançar o compromisso do país.</t>
  </si>
  <si>
    <t xml:space="preserve">Procura-se que existam fontes alternativas de financiamento que apoiem o desenvolvimento económico e social do país e da população afectada. </t>
  </si>
  <si>
    <t xml:space="preserve"> Apoiado por uma variedade de partes interessadas</t>
  </si>
  <si>
    <t>Apoiam o desenvolvimento para responder aos efeitos e riscos climáticos</t>
  </si>
  <si>
    <t>Há interesse em fontes alternativas de financiamento</t>
  </si>
  <si>
    <t>Procura envolver os utilizadores ao longo de toda a cadeia de valor na identificação das melhorias necessárias na gestão dos recursos naturais, no mercado, na comercialização e na infra-estrutura de transportes. Além de outras fontes de financiamento</t>
  </si>
  <si>
    <t>Procuram-se condições facilitadoras ou planos claros para criar essas condições e a eliminação de obstáculos é essencial para abordagens multissectoriais e intersectoriais destinadas a melhorar o sector agrícola e a segurança alimentar.</t>
  </si>
  <si>
    <t>Ele deve ser considerado nos planos de adaptação e controle ou mitigação de riscos climáticos.</t>
  </si>
  <si>
    <t>É necessário que as principais partes interessadas compreendam e estejam comprometidas com a reorientação da forma como os alimentos são produzidos e consumidos no país. Existência de estruturas de políticas de apoio.</t>
  </si>
  <si>
    <t>O objetivo é demonstrar que as atividades podem ser lucrativas e viáveis e que são baseadas em práticas recomendadas.</t>
  </si>
  <si>
    <t>O objetivo é ter mecanismos de financiamento inovadores e opções de compartilhamento de custos, seja de agricultores locais ou do setor privado, seja de outros doadores ou investidores internacionais.</t>
  </si>
  <si>
    <t>Busca-se uma análise econômica sólida e taxas de retorno financeiro com e sem o projeto, em diferentes cenários climáticos e de risco, para todos os setores.</t>
  </si>
  <si>
    <t>Mitigação: Redução das emissões de:</t>
  </si>
  <si>
    <t>Mitigação/Adaptação</t>
  </si>
  <si>
    <t>Acesso à energia e geração de energia.</t>
  </si>
  <si>
    <t>Silvicultura e uso da terra, ecossistemas e serviços ecossistêmicos</t>
  </si>
  <si>
    <t xml:space="preserve"> Pessoas e comunidades mais vulneráveis, segurança hídrica e alimentar</t>
  </si>
  <si>
    <t>Moedas</t>
  </si>
  <si>
    <t>Dólares</t>
  </si>
  <si>
    <t>Reais</t>
  </si>
  <si>
    <t>101 a 500 famílias</t>
  </si>
  <si>
    <t>501 a 1.000 famílias</t>
  </si>
  <si>
    <t>&gt; 1.000 famílias</t>
  </si>
  <si>
    <t>0 a 25% da população do município</t>
  </si>
  <si>
    <t>25,1 a 50% da população do município</t>
  </si>
  <si>
    <t>&gt; a 50,1% da população do município</t>
  </si>
  <si>
    <t>Toda a população da Amazônia</t>
  </si>
  <si>
    <t>Muito baixo ou mínimo</t>
  </si>
  <si>
    <t>Baixo ou baixo</t>
  </si>
  <si>
    <t>Alto ou relevante</t>
  </si>
  <si>
    <t>Muito alto ou muito alto</t>
  </si>
  <si>
    <t>Impacto potencial na mitigação e adaptação</t>
  </si>
  <si>
    <t>Potencial de desenvolvimento sustentável Estratégia de saída</t>
  </si>
  <si>
    <t>Microescala &lt; = 20 ktCO2/ano</t>
  </si>
  <si>
    <t>Pequena escala 20 a 60 ktCO2/ano</t>
  </si>
  <si>
    <t>Grande escala &gt; 60 ktCO2/ano</t>
  </si>
  <si>
    <t>CONFORMIDADE COM A POLÍTICA FINANCEIRA</t>
  </si>
  <si>
    <t>Setor selecionado</t>
  </si>
  <si>
    <t>Peso do Critério</t>
  </si>
  <si>
    <t>Não aplicável</t>
  </si>
  <si>
    <t>O projeto otimiza/minimiza o uso da água</t>
  </si>
  <si>
    <t>O projeto otimiza/minimiza o uso de energia</t>
  </si>
  <si>
    <t>O projeto otimiza o uso do terreno e sua ocupação.</t>
  </si>
  <si>
    <t>O projeto otimiza/minimiza a quantidade de terrenos ocupados</t>
  </si>
  <si>
    <t>Os materiais usados no projeto são recicláveis e permitem o gerenciamento ideal de resíduos.</t>
  </si>
  <si>
    <t>Os promotores do projeto maximizam o uso de recursos renováveis.</t>
  </si>
  <si>
    <t>Total (vinculado/relacionado a) :</t>
  </si>
  <si>
    <t>Gênero</t>
  </si>
  <si>
    <t xml:space="preserve">     Falhas e falta de monitoramento de ER</t>
  </si>
  <si>
    <t xml:space="preserve">     Falta de capacidade de implementação</t>
  </si>
  <si>
    <t>Programa estratégico agroflorestal para as aldeias das margens do rio Marañon</t>
  </si>
  <si>
    <t>Um programa que combina árvores ou arbustos com culturas agrícolas e/ou pecuária na mesma área. Esta prática pode  aumentar a  biodiversidade,  conservar o solo e a água e aumentar a resiliência das explorações agrícolas, fornecendo serviços ecossistémicos  adicionais e diversificando os rendimentos dos agricultores</t>
  </si>
  <si>
    <t>Estado Acre/Brasil</t>
  </si>
  <si>
    <t>Procura reduzir a vulnerabilidade e os desafios enfrentados pelos agricultores e pelos sistemas alimentares como resultado das mudanças climáticas.</t>
  </si>
  <si>
    <t>O projecto destina-se a apoiar o maior número de pessoas que dependem das florestas e comunidades, cujos meios de subsistência desaparecem ou sofrem perdas não económicas (património cultural, conhecimento indígena, identidade social/cultural), como resultado da desflorestação ou degradação florestal devido a mudanças climáticas.</t>
  </si>
  <si>
    <t>Procura reduzir as emissões de GEE e apoiar as regiões mais vulneráveis ​​face às mudanças climáticas e às catástrofes naturais. Apoiar ações destinadas a integrar medidas de redução do risco de catástrofes nas políticas e estratégias nacionais</t>
  </si>
  <si>
    <t>Procura que sejam tomadas medidas urgentes para reduzir a perda de habitats naturais e de biodiversidade (florestas, zonas húmidas, mangais, etc.) que fazem parte do nosso património comum, apoiar a segurança alimentar e hídrica global, a mitigação e a adaptação às mudanças climáticas, à paz e à segurança</t>
  </si>
  <si>
    <t>Impacto muito alto</t>
  </si>
  <si>
    <t>Procura acabar com todas as formas de fome e desnutrição, garantindo o acesso de todas as pessoas, especialmente das crianças, a alimentos suficientes e nutritivos durante todo o ano. Envolve a promoção de práticas agrícolas sustentáveis ​​com pequenos agricultores e a igualdade de acesso à terra, à tecnologia e aos mercados. Exige garantir o investimento nas infraestruturas  e na tecnologia necessárias para melhorar a produtividade agrícola.</t>
  </si>
  <si>
    <r>
      <t>tCO</t>
    </r>
    <r>
      <rPr>
        <vertAlign val="sub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/año</t>
    </r>
  </si>
  <si>
    <t>Prazos Estimados para o Projeto</t>
  </si>
  <si>
    <t>Compatibilidade com Critérios e Subcritérios de Investimento Climático</t>
  </si>
  <si>
    <t>Potencial de Impacto em Mitigação e Adaptação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</si>
</sst>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vertAlign val="subscript"/>
      <sz val="10"/>
      <color rgb="FF000000"/>
      <name val="Calibri"/>
      <family val="2"/>
      <scheme val="minor"/>
    </font>
    <font>
      <sz val="8"/>
      <color rgb="FF000000"/>
      <name val="Segoe U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ED"/>
        <bgColor indexed="64"/>
      </patternFill>
    </fill>
    <fill>
      <patternFill patternType="solid">
        <fgColor rgb="FF46C5E2"/>
        <bgColor indexed="64"/>
      </patternFill>
    </fill>
    <fill>
      <patternFill patternType="solid">
        <fgColor rgb="FFFF7F16"/>
        <bgColor indexed="64"/>
      </patternFill>
    </fill>
    <fill>
      <patternFill patternType="solid">
        <fgColor rgb="FFF4D5A5"/>
        <bgColor indexed="64"/>
      </patternFill>
    </fill>
    <fill>
      <patternFill patternType="solid">
        <fgColor rgb="FFB25F1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6C5E2"/>
        <bgColor theme="5"/>
      </patternFill>
    </fill>
    <fill>
      <patternFill patternType="solid">
        <fgColor theme="8" tint="0.59999389629810485"/>
        <bgColor rgb="FFD8D8D8"/>
      </patternFill>
    </fill>
    <fill>
      <patternFill patternType="solid">
        <fgColor rgb="FFCCE53B"/>
        <bgColor indexed="64"/>
      </patternFill>
    </fill>
    <fill>
      <patternFill patternType="solid">
        <fgColor theme="6" tint="-0.249977111117893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75">
    <xf numFmtId="0" fontId="0" fillId="0" borderId="0" xfId="0"/>
    <xf numFmtId="0" fontId="0" fillId="0" borderId="7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0" fillId="3" borderId="18" xfId="0" applyFill="1" applyBorder="1" applyAlignment="1">
      <alignment vertical="center"/>
    </xf>
    <xf numFmtId="9" fontId="0" fillId="3" borderId="1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9" fontId="0" fillId="3" borderId="9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9" fontId="0" fillId="2" borderId="10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9" fontId="0" fillId="2" borderId="9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9" fontId="0" fillId="3" borderId="10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0" fillId="0" borderId="20" xfId="0" applyBorder="1"/>
    <xf numFmtId="0" fontId="0" fillId="5" borderId="7" xfId="0" applyFill="1" applyBorder="1" applyAlignment="1">
      <alignment horizont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9" fontId="0" fillId="0" borderId="18" xfId="0" applyNumberFormat="1" applyBorder="1" applyAlignment="1">
      <alignment horizontal="center"/>
    </xf>
    <xf numFmtId="9" fontId="0" fillId="0" borderId="9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0" borderId="27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2" borderId="10" xfId="0" applyNumberFormat="1" applyFill="1" applyBorder="1" applyAlignment="1">
      <alignment horizontal="center" vertical="center" wrapText="1"/>
    </xf>
    <xf numFmtId="9" fontId="0" fillId="3" borderId="10" xfId="0" applyNumberForma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9" fontId="0" fillId="2" borderId="9" xfId="0" applyNumberFormat="1" applyFill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7" fillId="2" borderId="10" xfId="0" applyFont="1" applyFill="1" applyBorder="1" applyAlignment="1">
      <alignment vertical="center" wrapText="1"/>
    </xf>
    <xf numFmtId="0" fontId="3" fillId="0" borderId="0" xfId="0" applyFont="1"/>
    <xf numFmtId="0" fontId="0" fillId="0" borderId="7" xfId="0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9" fontId="8" fillId="3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9" fontId="8" fillId="2" borderId="9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vertical="center" wrapText="1"/>
    </xf>
    <xf numFmtId="9" fontId="0" fillId="3" borderId="13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9" fontId="1" fillId="2" borderId="10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8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left" vertical="center"/>
    </xf>
    <xf numFmtId="0" fontId="0" fillId="0" borderId="22" xfId="0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0" fillId="0" borderId="0" xfId="0" applyFont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left"/>
    </xf>
    <xf numFmtId="9" fontId="0" fillId="0" borderId="0" xfId="0" applyNumberFormat="1" applyAlignment="1">
      <alignment horizontal="center" vertical="center"/>
    </xf>
    <xf numFmtId="0" fontId="7" fillId="0" borderId="40" xfId="0" applyFont="1" applyBorder="1"/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9" fontId="0" fillId="0" borderId="28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29" xfId="1" applyFont="1" applyBorder="1" applyAlignment="1">
      <alignment horizontal="center"/>
    </xf>
    <xf numFmtId="0" fontId="7" fillId="0" borderId="21" xfId="0" applyFont="1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9" xfId="0" applyFont="1" applyBorder="1" applyAlignment="1">
      <alignment wrapText="1"/>
    </xf>
    <xf numFmtId="9" fontId="1" fillId="0" borderId="4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 wrapText="1"/>
    </xf>
    <xf numFmtId="3" fontId="0" fillId="13" borderId="7" xfId="0" applyNumberFormat="1" applyFill="1" applyBorder="1"/>
    <xf numFmtId="0" fontId="0" fillId="13" borderId="7" xfId="0" applyFill="1" applyBorder="1"/>
    <xf numFmtId="0" fontId="1" fillId="14" borderId="14" xfId="0" applyFont="1" applyFill="1" applyBorder="1" applyAlignment="1">
      <alignment vertical="center"/>
    </xf>
    <xf numFmtId="0" fontId="1" fillId="14" borderId="14" xfId="0" applyFont="1" applyFill="1" applyBorder="1" applyAlignment="1">
      <alignment horizontal="left" vertical="center"/>
    </xf>
    <xf numFmtId="0" fontId="1" fillId="14" borderId="43" xfId="0" applyFont="1" applyFill="1" applyBorder="1" applyAlignment="1">
      <alignment vertical="center"/>
    </xf>
    <xf numFmtId="0" fontId="1" fillId="14" borderId="44" xfId="0" applyFont="1" applyFill="1" applyBorder="1" applyAlignment="1">
      <alignment vertical="center"/>
    </xf>
    <xf numFmtId="0" fontId="0" fillId="0" borderId="28" xfId="0" applyBorder="1" applyAlignment="1">
      <alignment horizontal="left"/>
    </xf>
    <xf numFmtId="164" fontId="0" fillId="0" borderId="29" xfId="0" applyNumberFormat="1" applyBorder="1" applyAlignment="1">
      <alignment horizontal="center"/>
    </xf>
    <xf numFmtId="0" fontId="1" fillId="15" borderId="38" xfId="0" applyFont="1" applyFill="1" applyBorder="1" applyAlignment="1">
      <alignment horizontal="left" vertical="center"/>
    </xf>
    <xf numFmtId="0" fontId="0" fillId="15" borderId="40" xfId="0" applyFill="1" applyBorder="1" applyAlignment="1">
      <alignment vertical="center"/>
    </xf>
    <xf numFmtId="0" fontId="1" fillId="15" borderId="40" xfId="0" applyFont="1" applyFill="1" applyBorder="1" applyAlignment="1">
      <alignment horizontal="center" vertical="center"/>
    </xf>
    <xf numFmtId="164" fontId="1" fillId="15" borderId="39" xfId="0" applyNumberFormat="1" applyFont="1" applyFill="1" applyBorder="1" applyAlignment="1">
      <alignment horizontal="center" vertical="center"/>
    </xf>
    <xf numFmtId="0" fontId="1" fillId="0" borderId="45" xfId="0" applyFont="1" applyBorder="1"/>
    <xf numFmtId="0" fontId="0" fillId="0" borderId="46" xfId="0" applyBorder="1"/>
    <xf numFmtId="0" fontId="0" fillId="0" borderId="47" xfId="0" applyBorder="1" applyAlignment="1">
      <alignment horizontal="left" indent="2"/>
    </xf>
    <xf numFmtId="0" fontId="0" fillId="0" borderId="48" xfId="0" applyBorder="1"/>
    <xf numFmtId="0" fontId="0" fillId="0" borderId="49" xfId="0" applyBorder="1" applyAlignment="1">
      <alignment horizontal="left" indent="2"/>
    </xf>
    <xf numFmtId="0" fontId="0" fillId="0" borderId="50" xfId="0" applyBorder="1"/>
    <xf numFmtId="0" fontId="0" fillId="0" borderId="51" xfId="0" applyBorder="1"/>
    <xf numFmtId="0" fontId="0" fillId="0" borderId="47" xfId="0" applyBorder="1"/>
    <xf numFmtId="0" fontId="0" fillId="0" borderId="52" xfId="0" applyBorder="1"/>
    <xf numFmtId="0" fontId="0" fillId="0" borderId="50" xfId="0" applyBorder="1" applyAlignment="1">
      <alignment wrapText="1"/>
    </xf>
    <xf numFmtId="0" fontId="0" fillId="0" borderId="49" xfId="0" applyBorder="1"/>
    <xf numFmtId="0" fontId="1" fillId="15" borderId="38" xfId="0" applyFont="1" applyFill="1" applyBorder="1"/>
    <xf numFmtId="0" fontId="0" fillId="15" borderId="40" xfId="0" applyFill="1" applyBorder="1"/>
    <xf numFmtId="0" fontId="0" fillId="15" borderId="40" xfId="0" applyFill="1" applyBorder="1" applyAlignment="1">
      <alignment horizontal="left"/>
    </xf>
    <xf numFmtId="0" fontId="0" fillId="15" borderId="39" xfId="0" applyFill="1" applyBorder="1"/>
    <xf numFmtId="0" fontId="0" fillId="15" borderId="29" xfId="0" applyFill="1" applyBorder="1"/>
    <xf numFmtId="49" fontId="1" fillId="15" borderId="38" xfId="0" applyNumberFormat="1" applyFont="1" applyFill="1" applyBorder="1" applyAlignment="1">
      <alignment vertical="center"/>
    </xf>
    <xf numFmtId="0" fontId="0" fillId="15" borderId="40" xfId="0" applyFill="1" applyBorder="1" applyAlignment="1">
      <alignment horizontal="center" vertical="center"/>
    </xf>
    <xf numFmtId="0" fontId="0" fillId="15" borderId="39" xfId="0" applyFill="1" applyBorder="1" applyAlignment="1">
      <alignment vertical="center"/>
    </xf>
    <xf numFmtId="0" fontId="1" fillId="15" borderId="53" xfId="0" applyFont="1" applyFill="1" applyBorder="1" applyAlignment="1">
      <alignment vertical="center"/>
    </xf>
    <xf numFmtId="0" fontId="1" fillId="15" borderId="11" xfId="0" applyFont="1" applyFill="1" applyBorder="1" applyAlignment="1">
      <alignment vertical="center"/>
    </xf>
    <xf numFmtId="0" fontId="1" fillId="15" borderId="11" xfId="0" applyFont="1" applyFill="1" applyBorder="1" applyAlignment="1">
      <alignment horizontal="right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54" xfId="0" applyFont="1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2" borderId="11" xfId="0" applyFill="1" applyBorder="1" applyAlignment="1">
      <alignment vertical="center" wrapText="1"/>
    </xf>
    <xf numFmtId="9" fontId="0" fillId="2" borderId="11" xfId="0" applyNumberFormat="1" applyFill="1" applyBorder="1" applyAlignment="1">
      <alignment horizontal="center" vertical="center"/>
    </xf>
    <xf numFmtId="0" fontId="1" fillId="13" borderId="27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 wrapText="1"/>
    </xf>
    <xf numFmtId="0" fontId="0" fillId="17" borderId="18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12" borderId="7" xfId="0" applyFill="1" applyBorder="1" applyAlignment="1">
      <alignment horizontal="center" wrapText="1"/>
    </xf>
    <xf numFmtId="0" fontId="0" fillId="12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1" fillId="3" borderId="47" xfId="0" applyFont="1" applyFill="1" applyBorder="1" applyAlignment="1">
      <alignment vertical="center"/>
    </xf>
    <xf numFmtId="0" fontId="1" fillId="3" borderId="48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64" xfId="0" applyFill="1" applyBorder="1" applyAlignment="1">
      <alignment vertical="center"/>
    </xf>
    <xf numFmtId="0" fontId="0" fillId="2" borderId="63" xfId="0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vertical="center"/>
    </xf>
    <xf numFmtId="0" fontId="8" fillId="2" borderId="5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64" xfId="0" applyFill="1" applyBorder="1" applyAlignment="1">
      <alignment vertical="center"/>
    </xf>
    <xf numFmtId="0" fontId="0" fillId="3" borderId="65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2" fontId="1" fillId="0" borderId="39" xfId="0" applyNumberFormat="1" applyFont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/>
    </xf>
    <xf numFmtId="2" fontId="1" fillId="13" borderId="39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left" wrapText="1"/>
    </xf>
    <xf numFmtId="0" fontId="1" fillId="0" borderId="52" xfId="0" applyFont="1" applyBorder="1" applyAlignment="1">
      <alignment wrapText="1"/>
    </xf>
    <xf numFmtId="2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0" fontId="1" fillId="0" borderId="38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9" fontId="0" fillId="0" borderId="29" xfId="0" applyNumberFormat="1" applyBorder="1" applyAlignment="1">
      <alignment horizontal="center" vertical="center"/>
    </xf>
    <xf numFmtId="0" fontId="0" fillId="0" borderId="52" xfId="0" applyBorder="1" applyAlignment="1">
      <alignment horizontal="left" wrapText="1" indent="2"/>
    </xf>
    <xf numFmtId="0" fontId="0" fillId="0" borderId="53" xfId="0" applyBorder="1" applyAlignment="1">
      <alignment horizontal="left" wrapText="1" indent="2"/>
    </xf>
    <xf numFmtId="0" fontId="1" fillId="13" borderId="24" xfId="0" applyFont="1" applyFill="1" applyBorder="1" applyAlignment="1">
      <alignment vertical="center" wrapText="1"/>
    </xf>
    <xf numFmtId="0" fontId="0" fillId="13" borderId="25" xfId="0" applyFill="1" applyBorder="1" applyAlignment="1">
      <alignment horizontal="center" vertical="center"/>
    </xf>
    <xf numFmtId="2" fontId="1" fillId="13" borderId="26" xfId="0" applyNumberFormat="1" applyFont="1" applyFill="1" applyBorder="1" applyAlignment="1">
      <alignment horizontal="center" vertical="center"/>
    </xf>
    <xf numFmtId="0" fontId="1" fillId="13" borderId="58" xfId="0" applyFont="1" applyFill="1" applyBorder="1" applyAlignment="1">
      <alignment horizontal="center" vertical="center"/>
    </xf>
    <xf numFmtId="0" fontId="1" fillId="13" borderId="63" xfId="0" applyFont="1" applyFill="1" applyBorder="1" applyAlignment="1">
      <alignment horizontal="center" vertical="center" wrapText="1"/>
    </xf>
    <xf numFmtId="0" fontId="1" fillId="19" borderId="38" xfId="0" applyFont="1" applyFill="1" applyBorder="1" applyAlignment="1">
      <alignment horizontal="left" wrapText="1"/>
    </xf>
    <xf numFmtId="9" fontId="1" fillId="19" borderId="40" xfId="0" applyNumberFormat="1" applyFont="1" applyFill="1" applyBorder="1" applyAlignment="1">
      <alignment horizontal="center" vertical="center"/>
    </xf>
    <xf numFmtId="2" fontId="1" fillId="19" borderId="39" xfId="0" applyNumberFormat="1" applyFont="1" applyFill="1" applyBorder="1" applyAlignment="1">
      <alignment horizontal="center" vertical="center"/>
    </xf>
    <xf numFmtId="2" fontId="0" fillId="18" borderId="61" xfId="0" applyNumberFormat="1" applyFill="1" applyBorder="1" applyAlignment="1">
      <alignment horizontal="center"/>
    </xf>
    <xf numFmtId="2" fontId="0" fillId="18" borderId="50" xfId="0" applyNumberFormat="1" applyFill="1" applyBorder="1" applyAlignment="1">
      <alignment horizontal="center" vertical="center"/>
    </xf>
    <xf numFmtId="2" fontId="0" fillId="18" borderId="54" xfId="0" applyNumberFormat="1" applyFill="1" applyBorder="1" applyAlignment="1">
      <alignment horizontal="center" vertical="center"/>
    </xf>
    <xf numFmtId="0" fontId="0" fillId="18" borderId="50" xfId="0" applyFill="1" applyBorder="1" applyAlignment="1">
      <alignment horizontal="center" vertical="center"/>
    </xf>
    <xf numFmtId="0" fontId="0" fillId="18" borderId="54" xfId="0" applyFill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1" fillId="13" borderId="15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1" fillId="20" borderId="7" xfId="0" applyFont="1" applyFill="1" applyBorder="1" applyAlignment="1">
      <alignment horizontal="center"/>
    </xf>
    <xf numFmtId="0" fontId="0" fillId="20" borderId="7" xfId="0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13" borderId="7" xfId="0" applyFont="1" applyFill="1" applyBorder="1" applyAlignment="1">
      <alignment vertical="center" wrapText="1"/>
    </xf>
    <xf numFmtId="0" fontId="1" fillId="13" borderId="7" xfId="0" applyFont="1" applyFill="1" applyBorder="1" applyAlignment="1">
      <alignment vertical="center"/>
    </xf>
    <xf numFmtId="164" fontId="1" fillId="13" borderId="7" xfId="0" applyNumberFormat="1" applyFon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9" fontId="0" fillId="3" borderId="61" xfId="0" applyNumberFormat="1" applyFill="1" applyBorder="1" applyAlignment="1">
      <alignment horizontal="center" vertical="center"/>
    </xf>
    <xf numFmtId="9" fontId="0" fillId="3" borderId="50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9" fontId="0" fillId="3" borderId="48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" fillId="13" borderId="59" xfId="0" applyFont="1" applyFill="1" applyBorder="1" applyAlignment="1">
      <alignment horizontal="center" vertical="center"/>
    </xf>
    <xf numFmtId="0" fontId="1" fillId="18" borderId="16" xfId="0" applyFont="1" applyFill="1" applyBorder="1" applyAlignment="1">
      <alignment horizontal="center" vertical="center" wrapText="1"/>
    </xf>
    <xf numFmtId="0" fontId="1" fillId="18" borderId="60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23" borderId="7" xfId="0" applyFont="1" applyFill="1" applyBorder="1" applyAlignment="1">
      <alignment horizontal="center" vertical="center" wrapText="1"/>
    </xf>
    <xf numFmtId="0" fontId="0" fillId="18" borderId="47" xfId="0" applyFill="1" applyBorder="1" applyAlignment="1">
      <alignment vertical="center"/>
    </xf>
    <xf numFmtId="0" fontId="0" fillId="18" borderId="10" xfId="0" applyFill="1" applyBorder="1" applyAlignment="1">
      <alignment horizontal="center" vertical="center"/>
    </xf>
    <xf numFmtId="0" fontId="0" fillId="18" borderId="9" xfId="0" applyFill="1" applyBorder="1" applyAlignment="1">
      <alignment vertical="center" wrapText="1"/>
    </xf>
    <xf numFmtId="9" fontId="0" fillId="18" borderId="10" xfId="0" applyNumberFormat="1" applyFill="1" applyBorder="1" applyAlignment="1">
      <alignment horizontal="center" vertical="center"/>
    </xf>
    <xf numFmtId="9" fontId="0" fillId="18" borderId="48" xfId="0" applyNumberFormat="1" applyFill="1" applyBorder="1" applyAlignment="1">
      <alignment horizontal="center" vertical="center"/>
    </xf>
    <xf numFmtId="0" fontId="0" fillId="18" borderId="52" xfId="0" applyFill="1" applyBorder="1" applyAlignment="1">
      <alignment vertical="center"/>
    </xf>
    <xf numFmtId="0" fontId="0" fillId="18" borderId="9" xfId="0" applyFill="1" applyBorder="1" applyAlignment="1">
      <alignment horizontal="center" vertical="center"/>
    </xf>
    <xf numFmtId="9" fontId="0" fillId="18" borderId="9" xfId="0" applyNumberFormat="1" applyFill="1" applyBorder="1" applyAlignment="1">
      <alignment horizontal="center" vertical="center"/>
    </xf>
    <xf numFmtId="9" fontId="0" fillId="18" borderId="50" xfId="0" applyNumberFormat="1" applyFill="1" applyBorder="1" applyAlignment="1">
      <alignment horizontal="center" vertical="center"/>
    </xf>
    <xf numFmtId="0" fontId="0" fillId="18" borderId="9" xfId="0" applyFill="1" applyBorder="1" applyAlignment="1">
      <alignment vertical="center"/>
    </xf>
    <xf numFmtId="0" fontId="0" fillId="18" borderId="49" xfId="0" applyFill="1" applyBorder="1" applyAlignment="1">
      <alignment vertical="center"/>
    </xf>
    <xf numFmtId="0" fontId="0" fillId="18" borderId="12" xfId="0" applyFill="1" applyBorder="1" applyAlignment="1">
      <alignment horizontal="center" vertical="center"/>
    </xf>
    <xf numFmtId="0" fontId="0" fillId="18" borderId="12" xfId="0" applyFill="1" applyBorder="1" applyAlignment="1">
      <alignment vertical="center"/>
    </xf>
    <xf numFmtId="0" fontId="0" fillId="18" borderId="51" xfId="0" applyFill="1" applyBorder="1" applyAlignment="1">
      <alignment horizontal="center" vertical="center"/>
    </xf>
    <xf numFmtId="0" fontId="0" fillId="18" borderId="10" xfId="0" applyFill="1" applyBorder="1" applyAlignment="1">
      <alignment vertical="center" wrapText="1"/>
    </xf>
    <xf numFmtId="0" fontId="0" fillId="18" borderId="51" xfId="0" applyFill="1" applyBorder="1" applyAlignment="1">
      <alignment vertical="center"/>
    </xf>
    <xf numFmtId="0" fontId="0" fillId="18" borderId="50" xfId="0" applyFill="1" applyBorder="1" applyAlignment="1">
      <alignment vertical="center"/>
    </xf>
    <xf numFmtId="0" fontId="0" fillId="18" borderId="53" xfId="0" applyFill="1" applyBorder="1" applyAlignment="1">
      <alignment vertical="center"/>
    </xf>
    <xf numFmtId="0" fontId="0" fillId="18" borderId="11" xfId="0" applyFill="1" applyBorder="1" applyAlignment="1">
      <alignment horizontal="center" vertical="center"/>
    </xf>
    <xf numFmtId="0" fontId="0" fillId="18" borderId="11" xfId="0" applyFill="1" applyBorder="1" applyAlignment="1">
      <alignment vertical="center"/>
    </xf>
    <xf numFmtId="0" fontId="0" fillId="18" borderId="54" xfId="0" applyFill="1" applyBorder="1" applyAlignment="1">
      <alignment vertical="center"/>
    </xf>
    <xf numFmtId="0" fontId="1" fillId="14" borderId="41" xfId="0" applyFont="1" applyFill="1" applyBorder="1" applyAlignment="1">
      <alignment horizontal="center" vertical="center"/>
    </xf>
    <xf numFmtId="0" fontId="1" fillId="23" borderId="41" xfId="0" applyFont="1" applyFill="1" applyBorder="1" applyAlignment="1">
      <alignment horizontal="center" vertical="center"/>
    </xf>
    <xf numFmtId="0" fontId="1" fillId="16" borderId="41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3" borderId="38" xfId="0" applyFill="1" applyBorder="1" applyAlignment="1">
      <alignment vertical="center" wrapText="1"/>
    </xf>
    <xf numFmtId="0" fontId="0" fillId="3" borderId="38" xfId="0" applyFill="1" applyBorder="1" applyAlignment="1">
      <alignment vertical="center"/>
    </xf>
    <xf numFmtId="0" fontId="0" fillId="2" borderId="38" xfId="0" applyFill="1" applyBorder="1" applyAlignment="1">
      <alignment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0" borderId="67" xfId="0" applyBorder="1" applyAlignment="1">
      <alignment horizontal="right"/>
    </xf>
    <xf numFmtId="0" fontId="0" fillId="0" borderId="68" xfId="0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right"/>
    </xf>
    <xf numFmtId="0" fontId="0" fillId="0" borderId="69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right"/>
    </xf>
    <xf numFmtId="0" fontId="0" fillId="0" borderId="37" xfId="0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/>
    </xf>
    <xf numFmtId="0" fontId="0" fillId="0" borderId="71" xfId="0" applyBorder="1"/>
    <xf numFmtId="0" fontId="0" fillId="0" borderId="71" xfId="0" applyBorder="1" applyAlignment="1">
      <alignment horizontal="center"/>
    </xf>
    <xf numFmtId="0" fontId="1" fillId="13" borderId="72" xfId="0" applyFont="1" applyFill="1" applyBorder="1" applyAlignment="1">
      <alignment horizontal="center" vertical="center"/>
    </xf>
    <xf numFmtId="0" fontId="1" fillId="13" borderId="73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13" borderId="77" xfId="0" applyFont="1" applyFill="1" applyBorder="1" applyAlignment="1">
      <alignment horizontal="center" vertical="center"/>
    </xf>
    <xf numFmtId="0" fontId="1" fillId="16" borderId="78" xfId="0" applyFont="1" applyFill="1" applyBorder="1" applyAlignment="1">
      <alignment horizontal="center" vertical="center"/>
    </xf>
    <xf numFmtId="49" fontId="4" fillId="21" borderId="7" xfId="0" applyNumberFormat="1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top" wrapText="1"/>
    </xf>
    <xf numFmtId="0" fontId="7" fillId="11" borderId="7" xfId="0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3" fillId="14" borderId="43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4" borderId="44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12" borderId="22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0" fillId="12" borderId="28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2" borderId="29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2" borderId="26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3" borderId="38" xfId="0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 wrapText="1"/>
    </xf>
    <xf numFmtId="0" fontId="0" fillId="0" borderId="3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6" fillId="0" borderId="36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54" xfId="0" applyFont="1" applyBorder="1" applyAlignment="1">
      <alignment horizontal="left" wrapText="1"/>
    </xf>
    <xf numFmtId="0" fontId="0" fillId="0" borderId="3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2" borderId="4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3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5" fillId="13" borderId="27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 wrapText="1"/>
    </xf>
    <xf numFmtId="0" fontId="1" fillId="16" borderId="27" xfId="0" applyFont="1" applyFill="1" applyBorder="1" applyAlignment="1">
      <alignment horizontal="center" vertical="center" wrapText="1"/>
    </xf>
    <xf numFmtId="0" fontId="1" fillId="16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13" borderId="55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1" fillId="13" borderId="27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17" borderId="78" xfId="0" applyFill="1" applyBorder="1" applyAlignment="1">
      <alignment horizontal="center" vertical="center" wrapText="1"/>
    </xf>
    <xf numFmtId="0" fontId="0" fillId="17" borderId="74" xfId="0" applyFill="1" applyBorder="1" applyAlignment="1">
      <alignment horizontal="center" vertical="center" wrapText="1"/>
    </xf>
    <xf numFmtId="0" fontId="0" fillId="18" borderId="7" xfId="0" applyFill="1" applyBorder="1" applyAlignment="1">
      <alignment horizontal="center" vertical="center" wrapText="1"/>
    </xf>
    <xf numFmtId="0" fontId="0" fillId="18" borderId="39" xfId="0" applyFill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16" xfId="0" applyFont="1" applyFill="1" applyBorder="1" applyAlignment="1">
      <alignment horizontal="center" vertical="center" wrapText="1"/>
    </xf>
    <xf numFmtId="0" fontId="5" fillId="17" borderId="59" xfId="0" applyFont="1" applyFill="1" applyBorder="1" applyAlignment="1">
      <alignment horizontal="center" vertical="center" wrapText="1"/>
    </xf>
    <xf numFmtId="0" fontId="5" fillId="17" borderId="6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1" fillId="13" borderId="55" xfId="0" applyFont="1" applyFill="1" applyBorder="1" applyAlignment="1">
      <alignment horizontal="center" vertical="center"/>
    </xf>
    <xf numFmtId="0" fontId="1" fillId="13" borderId="56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3" borderId="22" xfId="0" applyFont="1" applyFill="1" applyBorder="1" applyAlignment="1">
      <alignment horizontal="center" vertical="center" wrapText="1"/>
    </xf>
    <xf numFmtId="0" fontId="1" fillId="13" borderId="6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20" borderId="7" xfId="0" applyFont="1" applyFill="1" applyBorder="1" applyAlignment="1">
      <alignment horizontal="center" vertical="center" wrapText="1"/>
    </xf>
    <xf numFmtId="0" fontId="0" fillId="20" borderId="7" xfId="0" applyFill="1" applyBorder="1" applyAlignment="1">
      <alignment horizontal="center" wrapText="1"/>
    </xf>
    <xf numFmtId="0" fontId="1" fillId="13" borderId="16" xfId="0" applyFont="1" applyFill="1" applyBorder="1" applyAlignment="1">
      <alignment horizontal="left" vertical="center"/>
    </xf>
    <xf numFmtId="0" fontId="1" fillId="13" borderId="17" xfId="0" applyFont="1" applyFill="1" applyBorder="1" applyAlignment="1">
      <alignment horizontal="left" vertical="center"/>
    </xf>
    <xf numFmtId="0" fontId="1" fillId="13" borderId="7" xfId="0" applyFont="1" applyFill="1" applyBorder="1" applyAlignment="1">
      <alignment horizontal="center" vertical="center"/>
    </xf>
    <xf numFmtId="49" fontId="4" fillId="22" borderId="7" xfId="0" applyNumberFormat="1" applyFont="1" applyFill="1" applyBorder="1" applyAlignment="1">
      <alignment horizontal="left" vertical="center" wrapText="1"/>
    </xf>
    <xf numFmtId="49" fontId="1" fillId="11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center"/>
    </xf>
    <xf numFmtId="0" fontId="0" fillId="2" borderId="41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4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 wrapText="1"/>
    </xf>
    <xf numFmtId="0" fontId="0" fillId="18" borderId="47" xfId="0" applyFill="1" applyBorder="1" applyAlignment="1">
      <alignment horizontal="center" vertical="center"/>
    </xf>
    <xf numFmtId="0" fontId="0" fillId="18" borderId="52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0" xfId="0" applyFill="1" applyBorder="1" applyAlignment="1">
      <alignment horizontal="left" vertical="center" wrapText="1"/>
    </xf>
    <xf numFmtId="0" fontId="0" fillId="18" borderId="9" xfId="0" applyFill="1" applyBorder="1" applyAlignment="1">
      <alignment horizontal="left" vertical="center" wrapText="1"/>
    </xf>
    <xf numFmtId="0" fontId="0" fillId="18" borderId="0" xfId="0" applyFill="1" applyAlignment="1">
      <alignment horizontal="center" vertical="center" wrapText="1"/>
    </xf>
    <xf numFmtId="0" fontId="0" fillId="18" borderId="10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6C5E2"/>
      <color rgb="FFFF7F16"/>
      <color rgb="FFB25F1A"/>
      <color rgb="FFCCE53B"/>
      <color rgb="FFEDEDED"/>
      <color rgb="FFF4D5A5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C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Style="combo" dx="26" fmlaLink="D37" fmlaRange="'Auxiliar 2'!$D$8:$D$10" noThreeD="1" sel="1" val="0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olitica Financiera'!A1"/><Relationship Id="rId2" Type="http://schemas.openxmlformats.org/officeDocument/2006/relationships/hyperlink" Target="#'Datos Entrada'!A1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hyperlink" Target="#'Nivel de Riesgo'!A1"/><Relationship Id="rId4" Type="http://schemas.openxmlformats.org/officeDocument/2006/relationships/hyperlink" Target="#'ODS Analisi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708660</xdr:colOff>
      <xdr:row>0</xdr:row>
      <xdr:rowOff>83820</xdr:rowOff>
    </xdr:from>
    <xdr:to>
      <xdr:col>3</xdr:col>
      <xdr:colOff>236220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83820"/>
          <a:ext cx="1905000" cy="7810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777240</xdr:colOff>
          <xdr:row>6</xdr:row>
          <xdr:rowOff>175260</xdr:rowOff>
        </xdr:from>
        <xdr:to>
          <xdr:col>4</xdr:col>
          <xdr:colOff>358140</xdr:colOff>
          <xdr:row>11</xdr:row>
          <xdr:rowOff>76200</xdr:rowOff>
        </xdr:to>
        <xdr:grpSp>
          <xdr:nvGrpSpPr>
            <xdr:cNvPr id="4" name="Grup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77240" y="1318260"/>
              <a:ext cx="3060700" cy="853440"/>
              <a:chOff x="777242" y="1272541"/>
              <a:chExt cx="2750819" cy="815343"/>
            </a:xfrm>
          </xdr:grpSpPr>
          <xdr:sp macro="" textlink="">
            <xdr:nvSpPr>
              <xdr:cNvPr id="15367" name="Option Button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000-0000073C0000}"/>
                  </a:ext>
                </a:extLst>
              </xdr:cNvPr>
              <xdr:cNvSpPr/>
            </xdr:nvSpPr>
            <xdr:spPr bwMode="auto">
              <a:xfrm>
                <a:off x="777242" y="1272541"/>
                <a:ext cx="1280161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00CCFF" mc:Ignorable="a14" a14:legacySpreadsheetColorIndex="40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ACESSO À ENERGIA</a:t>
                </a:r>
              </a:p>
            </xdr:txBody>
          </xdr:sp>
          <xdr:sp macro="" textlink="">
            <xdr:nvSpPr>
              <xdr:cNvPr id="15368" name="Option Button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000-0000083C0000}"/>
                  </a:ext>
                </a:extLst>
              </xdr:cNvPr>
              <xdr:cNvSpPr/>
            </xdr:nvSpPr>
            <xdr:spPr bwMode="auto">
              <a:xfrm>
                <a:off x="2217420" y="1280160"/>
                <a:ext cx="1310641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008000" mc:Ignorable="a14" a14:legacySpreadsheetColorIndex="17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FLORESTAS E USO DO SOLO</a:t>
                </a:r>
              </a:p>
            </xdr:txBody>
          </xdr:sp>
          <xdr:sp macro="" textlink="">
            <xdr:nvSpPr>
              <xdr:cNvPr id="15369" name="Option Button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000-0000093C0000}"/>
                  </a:ext>
                </a:extLst>
              </xdr:cNvPr>
              <xdr:cNvSpPr/>
            </xdr:nvSpPr>
            <xdr:spPr bwMode="auto">
              <a:xfrm>
                <a:off x="1394460" y="1699263"/>
                <a:ext cx="1310640" cy="388621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808080" mc:Ignorable="a14" a14:legacySpreadsheetColorIndex="23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AGRICULTURA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6</xdr:col>
      <xdr:colOff>137160</xdr:colOff>
      <xdr:row>4</xdr:row>
      <xdr:rowOff>129540</xdr:rowOff>
    </xdr:from>
    <xdr:to>
      <xdr:col>9</xdr:col>
      <xdr:colOff>205740</xdr:colOff>
      <xdr:row>9</xdr:row>
      <xdr:rowOff>118110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90148" y="853440"/>
          <a:ext cx="2287905" cy="893445"/>
        </a:xfrm>
        <a:prstGeom prst="roundRect">
          <a:avLst/>
        </a:prstGeom>
        <a:solidFill>
          <a:srgbClr val="FF7F16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Adequação dos critérios de investimento</a:t>
          </a:r>
        </a:p>
      </xdr:txBody>
    </xdr:sp>
    <xdr:clientData/>
  </xdr:twoCellAnchor>
  <xdr:twoCellAnchor>
    <xdr:from>
      <xdr:col>6</xdr:col>
      <xdr:colOff>213360</xdr:colOff>
      <xdr:row>10</xdr:row>
      <xdr:rowOff>99060</xdr:rowOff>
    </xdr:from>
    <xdr:to>
      <xdr:col>9</xdr:col>
      <xdr:colOff>190500</xdr:colOff>
      <xdr:row>15</xdr:row>
      <xdr:rowOff>87630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75760" y="1927860"/>
          <a:ext cx="2354580" cy="902970"/>
        </a:xfrm>
        <a:prstGeom prst="roundRect">
          <a:avLst/>
        </a:prstGeom>
        <a:solidFill>
          <a:srgbClr val="46C5E2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BO" sz="1600" b="0">
              <a:solidFill>
                <a:schemeClr val="dk1"/>
              </a:solidFill>
              <a:latin typeface="+mn-lt"/>
              <a:ea typeface="+mn-ea"/>
              <a:cs typeface="+mn-cs"/>
            </a:rPr>
            <a:t>Coincidência com a política financeira</a:t>
          </a:r>
        </a:p>
      </xdr:txBody>
    </xdr:sp>
    <xdr:clientData/>
  </xdr:twoCellAnchor>
  <xdr:twoCellAnchor>
    <xdr:from>
      <xdr:col>9</xdr:col>
      <xdr:colOff>471805</xdr:colOff>
      <xdr:row>4</xdr:row>
      <xdr:rowOff>132080</xdr:rowOff>
    </xdr:from>
    <xdr:to>
      <xdr:col>12</xdr:col>
      <xdr:colOff>448945</xdr:colOff>
      <xdr:row>9</xdr:row>
      <xdr:rowOff>111125</xdr:rowOff>
    </xdr:to>
    <xdr:sp macro="" textlink="">
      <xdr:nvSpPr>
        <xdr:cNvPr id="7" name="Rectángulo: esquinas redondeada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91805" y="894080"/>
          <a:ext cx="2745740" cy="931545"/>
        </a:xfrm>
        <a:prstGeom prst="roundRect">
          <a:avLst/>
        </a:prstGeom>
        <a:solidFill>
          <a:srgbClr val="CCE53B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Vínculo com os Objetivos de Desenvolvimento Sustentável </a:t>
          </a:r>
        </a:p>
      </xdr:txBody>
    </xdr:sp>
    <xdr:clientData/>
  </xdr:twoCellAnchor>
  <xdr:twoCellAnchor>
    <xdr:from>
      <xdr:col>9</xdr:col>
      <xdr:colOff>461645</xdr:colOff>
      <xdr:row>10</xdr:row>
      <xdr:rowOff>86360</xdr:rowOff>
    </xdr:from>
    <xdr:to>
      <xdr:col>12</xdr:col>
      <xdr:colOff>438785</xdr:colOff>
      <xdr:row>15</xdr:row>
      <xdr:rowOff>65405</xdr:rowOff>
    </xdr:to>
    <xdr:sp macro="" textlink="">
      <xdr:nvSpPr>
        <xdr:cNvPr id="8" name="Rectángulo: esquinas redondeada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81645" y="1991360"/>
          <a:ext cx="2745740" cy="906145"/>
        </a:xfrm>
        <a:prstGeom prst="roundRect">
          <a:avLst/>
        </a:prstGeom>
        <a:solidFill>
          <a:srgbClr val="B25F1A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Nível de risco para o financiador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</xdr:row>
          <xdr:rowOff>177800</xdr:rowOff>
        </xdr:from>
        <xdr:to>
          <xdr:col>3</xdr:col>
          <xdr:colOff>889000</xdr:colOff>
          <xdr:row>37</xdr:row>
          <xdr:rowOff>25400</xdr:rowOff>
        </xdr:to>
        <xdr:sp macro="" textlink="">
          <xdr:nvSpPr>
            <xdr:cNvPr id="15370" name="Drop Dow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804033</xdr:colOff>
          <xdr:row>6</xdr:row>
          <xdr:rowOff>159185</xdr:rowOff>
        </xdr:from>
        <xdr:to>
          <xdr:col>4</xdr:col>
          <xdr:colOff>525147</xdr:colOff>
          <xdr:row>11</xdr:row>
          <xdr:rowOff>60123</xdr:rowOff>
        </xdr:to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804033" y="1302185"/>
              <a:ext cx="3200914" cy="853438"/>
              <a:chOff x="777242" y="1272541"/>
              <a:chExt cx="2876921" cy="815341"/>
            </a:xfrm>
          </xdr:grpSpPr>
          <xdr:sp macro="" textlink="">
            <xdr:nvSpPr>
              <xdr:cNvPr id="15371" name="Option Button 11" hidden="1">
                <a:extLst>
                  <a:ext uri="{63B3BB69-23CF-44E3-9099-C40C66FF867C}">
                    <a14:compatExt spid="_x0000_s15371"/>
                  </a:ext>
                  <a:ext uri="{FF2B5EF4-FFF2-40B4-BE49-F238E27FC236}">
                    <a16:creationId xmlns:a16="http://schemas.microsoft.com/office/drawing/2014/main" id="{00000000-0008-0000-0000-00000B3C0000}"/>
                  </a:ext>
                </a:extLst>
              </xdr:cNvPr>
              <xdr:cNvSpPr/>
            </xdr:nvSpPr>
            <xdr:spPr bwMode="auto">
              <a:xfrm>
                <a:off x="777242" y="1272541"/>
                <a:ext cx="1280161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00CCFF" mc:Ignorable="a14" a14:legacySpreadsheetColorIndex="40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ACESSO À ENERGIA</a:t>
                </a:r>
              </a:p>
            </xdr:txBody>
          </xdr:sp>
          <xdr:sp macro="" textlink="">
            <xdr:nvSpPr>
              <xdr:cNvPr id="15372" name="Option Button 12" hidden="1">
                <a:extLst>
                  <a:ext uri="{63B3BB69-23CF-44E3-9099-C40C66FF867C}">
                    <a14:compatExt spid="_x0000_s15372"/>
                  </a:ext>
                  <a:ext uri="{FF2B5EF4-FFF2-40B4-BE49-F238E27FC236}">
                    <a16:creationId xmlns:a16="http://schemas.microsoft.com/office/drawing/2014/main" id="{00000000-0008-0000-0000-00000C3C0000}"/>
                  </a:ext>
                </a:extLst>
              </xdr:cNvPr>
              <xdr:cNvSpPr/>
            </xdr:nvSpPr>
            <xdr:spPr bwMode="auto">
              <a:xfrm>
                <a:off x="2217420" y="1280160"/>
                <a:ext cx="1436743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008000" mc:Ignorable="a14" a14:legacySpreadsheetColorIndex="17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FLORESTAS E USO DO SOLO</a:t>
                </a:r>
              </a:p>
            </xdr:txBody>
          </xdr:sp>
          <xdr:sp macro="" textlink="">
            <xdr:nvSpPr>
              <xdr:cNvPr id="15373" name="Option Button 13" hidden="1">
                <a:extLst>
                  <a:ext uri="{63B3BB69-23CF-44E3-9099-C40C66FF867C}">
                    <a14:compatExt spid="_x0000_s15373"/>
                  </a:ext>
                  <a:ext uri="{FF2B5EF4-FFF2-40B4-BE49-F238E27FC236}">
                    <a16:creationId xmlns:a16="http://schemas.microsoft.com/office/drawing/2014/main" id="{00000000-0008-0000-0000-00000D3C0000}"/>
                  </a:ext>
                </a:extLst>
              </xdr:cNvPr>
              <xdr:cNvSpPr/>
            </xdr:nvSpPr>
            <xdr:spPr bwMode="auto">
              <a:xfrm>
                <a:off x="1394460" y="1699261"/>
                <a:ext cx="1310640" cy="388621"/>
              </a:xfrm>
              <a:prstGeom prst="rect">
                <a:avLst/>
              </a:prstGeom>
              <a:gradFill rotWithShape="1">
                <a:gsLst>
                  <a:gs pos="0">
                    <a:srgbClr val="FFFFFF"/>
                  </a:gs>
                  <a:gs pos="50000">
                    <a:srgbClr val="808080" mc:Ignorable="a14" a14:legacySpreadsheetColorIndex="23"/>
                  </a:gs>
                  <a:gs pos="100000">
                    <a:srgbClr val="FFFFFF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 pitchFamily="2"/>
                    <a:cs typeface="Segoe UI" pitchFamily="2"/>
                  </a:rPr>
                  <a:t>AGRICULTURA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584200</xdr:colOff>
      <xdr:row>1</xdr:row>
      <xdr:rowOff>25400</xdr:rowOff>
    </xdr:from>
    <xdr:to>
      <xdr:col>7</xdr:col>
      <xdr:colOff>545009</xdr:colOff>
      <xdr:row>3</xdr:row>
      <xdr:rowOff>165100</xdr:rowOff>
    </xdr:to>
    <xdr:pic>
      <xdr:nvPicPr>
        <xdr:cNvPr id="10" name="image2.png" descr="Imagen que contiene botella, firmar, alimentos, palo&#10;&#10;Descripción generada automáticamente">
          <a:extLst>
            <a:ext uri="{FF2B5EF4-FFF2-40B4-BE49-F238E27FC236}">
              <a16:creationId xmlns:a16="http://schemas.microsoft.com/office/drawing/2014/main" id="{BB0407A3-0AFF-A640-A6FC-81074547A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215900"/>
          <a:ext cx="3453309" cy="52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184785</xdr:rowOff>
    </xdr:from>
    <xdr:to>
      <xdr:col>0</xdr:col>
      <xdr:colOff>571499</xdr:colOff>
      <xdr:row>3</xdr:row>
      <xdr:rowOff>127635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9700" y="184785"/>
          <a:ext cx="431799" cy="1174750"/>
        </a:xfrm>
        <a:prstGeom prst="flowChartOffpageConnector">
          <a:avLst/>
        </a:prstGeom>
        <a:solidFill>
          <a:srgbClr val="FF7F16"/>
        </a:solidFill>
        <a:ln>
          <a:noFill/>
        </a:ln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282575</xdr:colOff>
      <xdr:row>2</xdr:row>
      <xdr:rowOff>6350</xdr:rowOff>
    </xdr:from>
    <xdr:to>
      <xdr:col>12</xdr:col>
      <xdr:colOff>3175</xdr:colOff>
      <xdr:row>3</xdr:row>
      <xdr:rowOff>1104900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871575" y="438150"/>
          <a:ext cx="546100" cy="1289050"/>
        </a:xfrm>
        <a:prstGeom prst="flowChartOffpageConnector">
          <a:avLst/>
        </a:prstGeom>
        <a:solidFill>
          <a:srgbClr val="FF7F16"/>
        </a:solidFill>
        <a:ln>
          <a:noFill/>
        </a:ln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288925</xdr:colOff>
      <xdr:row>0</xdr:row>
      <xdr:rowOff>139700</xdr:rowOff>
    </xdr:from>
    <xdr:to>
      <xdr:col>7</xdr:col>
      <xdr:colOff>733425</xdr:colOff>
      <xdr:row>3</xdr:row>
      <xdr:rowOff>82550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896725" y="139700"/>
          <a:ext cx="444500" cy="1238250"/>
        </a:xfrm>
        <a:prstGeom prst="flowChartOffpageConnector">
          <a:avLst/>
        </a:prstGeom>
        <a:solidFill>
          <a:srgbClr val="FF7F16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133350</xdr:rowOff>
    </xdr:from>
    <xdr:to>
      <xdr:col>1</xdr:col>
      <xdr:colOff>66675</xdr:colOff>
      <xdr:row>3</xdr:row>
      <xdr:rowOff>438150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9575" y="133350"/>
          <a:ext cx="419100" cy="923925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123824</xdr:rowOff>
    </xdr:from>
    <xdr:to>
      <xdr:col>0</xdr:col>
      <xdr:colOff>657225</xdr:colOff>
      <xdr:row>6</xdr:row>
      <xdr:rowOff>165099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38125" y="123824"/>
          <a:ext cx="419100" cy="1209675"/>
        </a:xfrm>
        <a:prstGeom prst="flowChartOffpageConnector">
          <a:avLst/>
        </a:prstGeom>
        <a:solidFill>
          <a:srgbClr val="FF7F16"/>
        </a:solidFill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147204</xdr:rowOff>
    </xdr:from>
    <xdr:to>
      <xdr:col>0</xdr:col>
      <xdr:colOff>592282</xdr:colOff>
      <xdr:row>5</xdr:row>
      <xdr:rowOff>118629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3182" y="147204"/>
          <a:ext cx="419100" cy="923925"/>
        </a:xfrm>
        <a:prstGeom prst="flowChartOffpageConnector">
          <a:avLst/>
        </a:prstGeom>
        <a:solidFill>
          <a:srgbClr val="FF7F16"/>
        </a:solidFill>
        <a:ln>
          <a:noFill/>
        </a:ln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711518</xdr:colOff>
      <xdr:row>1</xdr:row>
      <xdr:rowOff>0</xdr:rowOff>
    </xdr:from>
    <xdr:to>
      <xdr:col>14</xdr:col>
      <xdr:colOff>132398</xdr:colOff>
      <xdr:row>39</xdr:row>
      <xdr:rowOff>51435</xdr:rowOff>
    </xdr:to>
    <xdr:pic>
      <xdr:nvPicPr>
        <xdr:cNvPr id="2" name="Imagen 1" descr="Nota GN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8" y="180975"/>
          <a:ext cx="10088880" cy="6928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18720</xdr:colOff>
      <xdr:row>8</xdr:row>
      <xdr:rowOff>138114</xdr:rowOff>
    </xdr:from>
    <xdr:to>
      <xdr:col>13</xdr:col>
      <xdr:colOff>542925</xdr:colOff>
      <xdr:row>32</xdr:row>
      <xdr:rowOff>165208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720" y="1585914"/>
          <a:ext cx="9668205" cy="4370494"/>
        </a:xfrm>
        <a:prstGeom prst="rect">
          <a:avLst/>
        </a:prstGeom>
      </xdr:spPr>
    </xdr:pic>
    <xdr:clientData/>
  </xdr:twoCellAnchor>
  <xdr:twoCellAnchor>
    <xdr:from>
      <xdr:col>9</xdr:col>
      <xdr:colOff>171449</xdr:colOff>
      <xdr:row>4</xdr:row>
      <xdr:rowOff>38100</xdr:rowOff>
    </xdr:from>
    <xdr:to>
      <xdr:col>12</xdr:col>
      <xdr:colOff>514350</xdr:colOff>
      <xdr:row>9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7029449" y="762000"/>
          <a:ext cx="2628901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s-PE" sz="2000" b="1">
              <a:solidFill>
                <a:srgbClr val="0099CC"/>
              </a:solidFill>
            </a:rPr>
            <a:t>DE</a:t>
          </a:r>
          <a:r>
            <a:rPr lang="es-PE" sz="2000" b="1" baseline="0">
              <a:solidFill>
                <a:srgbClr val="0099CC"/>
              </a:solidFill>
            </a:rPr>
            <a:t> DESENVOLVIMENTO </a:t>
          </a:r>
          <a:br>
            <a:rPr lang="es-PE" sz="2000" b="1" baseline="0">
              <a:solidFill>
                <a:srgbClr val="0099CC"/>
              </a:solidFill>
            </a:rPr>
          </a:br>
          <a:r>
            <a:rPr lang="es-PE" sz="3450" b="1" baseline="0">
              <a:solidFill>
                <a:srgbClr val="0099CC"/>
              </a:solidFill>
            </a:rPr>
            <a:t>SUSTENTÁVEL</a:t>
          </a:r>
          <a:endParaRPr lang="es-PE" sz="3450" b="1">
            <a:solidFill>
              <a:srgbClr val="0099CC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GIZ/Fondo_Verde_Emisiones%20CO2/PLanificaciones_proyectos/PINs%20ENDE/Cartera%20de%20proyectos%202015%20-%202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Proyectos 2030 (3)"/>
      <sheetName val="Subvencion Requerida"/>
      <sheetName val="DESAGREGACIÓN ANUAL(MMUS$)"/>
      <sheetName val="Hoja2"/>
      <sheetName val="Hoja3"/>
      <sheetName val="Hoja1"/>
      <sheetName val="IRENA 2014 Hydro"/>
      <sheetName val="Base Datos "/>
      <sheetName val="Cartera Proyectos 2030 (2)"/>
      <sheetName val="Cartera Proyectos 2030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Hidroeléctrica Misicuni</v>
          </cell>
        </row>
      </sheetData>
      <sheetData sheetId="8"/>
      <sheetData sheetId="9"/>
      <sheetData sheetId="10">
        <row r="49">
          <cell r="D49">
            <v>0.77800000000000002</v>
          </cell>
        </row>
        <row r="50">
          <cell r="D50">
            <v>0.76200000000000001</v>
          </cell>
        </row>
        <row r="51">
          <cell r="D51">
            <v>0.71200000000000008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F16"/>
  </sheetPr>
  <dimension ref="B7:N49"/>
  <sheetViews>
    <sheetView showGridLines="0" tabSelected="1" zoomScaleNormal="100" workbookViewId="0">
      <selection activeCell="E9" sqref="E9"/>
    </sheetView>
  </sheetViews>
  <sheetFormatPr baseColWidth="10" defaultRowHeight="15" x14ac:dyDescent="0.2"/>
  <cols>
    <col min="4" max="4" width="13.1640625" customWidth="1"/>
    <col min="5" max="5" width="12.1640625" customWidth="1"/>
    <col min="7" max="7" width="9.6640625" customWidth="1"/>
    <col min="10" max="10" width="11.83203125" customWidth="1"/>
    <col min="11" max="11" width="13.6640625" customWidth="1"/>
  </cols>
  <sheetData>
    <row r="7" spans="2:6" x14ac:dyDescent="0.2">
      <c r="B7" s="339" t="s">
        <v>77</v>
      </c>
      <c r="C7" s="339"/>
      <c r="D7" s="339"/>
      <c r="E7" s="339"/>
      <c r="F7" s="16"/>
    </row>
    <row r="11" spans="2:6" x14ac:dyDescent="0.2">
      <c r="C11">
        <v>6</v>
      </c>
    </row>
    <row r="13" spans="2:6" ht="14.5" customHeight="1" x14ac:dyDescent="0.2"/>
    <row r="14" spans="2:6" ht="14.5" customHeight="1" x14ac:dyDescent="0.2">
      <c r="B14" s="2"/>
      <c r="C14" s="2"/>
      <c r="D14" s="2"/>
      <c r="E14" s="2"/>
    </row>
    <row r="15" spans="2:6" x14ac:dyDescent="0.2">
      <c r="B15" s="2"/>
      <c r="C15" s="2"/>
      <c r="D15" s="2"/>
      <c r="E15" s="2"/>
    </row>
    <row r="17" spans="2:14" ht="13.25" customHeight="1" x14ac:dyDescent="0.2"/>
    <row r="18" spans="2:14" ht="15" customHeight="1" x14ac:dyDescent="0.2">
      <c r="B18" s="349" t="s">
        <v>78</v>
      </c>
      <c r="C18" s="349"/>
      <c r="D18" s="349"/>
      <c r="E18" s="349"/>
    </row>
    <row r="19" spans="2:14" ht="28" customHeight="1" thickBot="1" x14ac:dyDescent="0.25">
      <c r="B19" s="340" t="s">
        <v>385</v>
      </c>
      <c r="C19" s="341"/>
      <c r="D19" s="341"/>
      <c r="E19" s="342"/>
      <c r="H19" s="151" t="s">
        <v>93</v>
      </c>
      <c r="I19" s="149"/>
      <c r="J19" s="149"/>
      <c r="K19" s="150" t="s">
        <v>95</v>
      </c>
      <c r="L19" s="152"/>
    </row>
    <row r="20" spans="2:14" ht="14.75" customHeight="1" thickTop="1" x14ac:dyDescent="0.2">
      <c r="B20" s="343"/>
      <c r="C20" s="344"/>
      <c r="D20" s="344"/>
      <c r="E20" s="345"/>
      <c r="H20" s="153" t="s">
        <v>94</v>
      </c>
      <c r="K20" s="10">
        <v>0.3</v>
      </c>
      <c r="L20" s="154">
        <f>+'Criterios inversion'!G41</f>
        <v>2.8450000000000002</v>
      </c>
    </row>
    <row r="21" spans="2:14" ht="25" customHeight="1" x14ac:dyDescent="0.2">
      <c r="B21" s="346"/>
      <c r="C21" s="347"/>
      <c r="D21" s="347"/>
      <c r="E21" s="348"/>
      <c r="H21" s="153" t="s">
        <v>96</v>
      </c>
      <c r="K21" s="10">
        <v>0.25</v>
      </c>
      <c r="L21" s="154" t="e">
        <f>+'Politica Financiera'!D23</f>
        <v>#N/A</v>
      </c>
    </row>
    <row r="22" spans="2:14" x14ac:dyDescent="0.2">
      <c r="B22" s="58"/>
      <c r="C22" s="58"/>
      <c r="D22" s="58"/>
      <c r="E22" s="58"/>
      <c r="H22" s="153" t="s">
        <v>97</v>
      </c>
      <c r="K22" s="10">
        <v>0.3</v>
      </c>
      <c r="L22" s="154">
        <f>+ODS!E24</f>
        <v>4</v>
      </c>
    </row>
    <row r="23" spans="2:14" x14ac:dyDescent="0.2">
      <c r="B23" s="349" t="s">
        <v>79</v>
      </c>
      <c r="C23" s="349"/>
      <c r="D23" s="349"/>
      <c r="E23" s="349"/>
      <c r="H23" s="153" t="s">
        <v>98</v>
      </c>
      <c r="K23" s="10">
        <v>0.15</v>
      </c>
      <c r="L23" s="154">
        <f>+'Nivel de Riesgo'!D24</f>
        <v>5</v>
      </c>
    </row>
    <row r="24" spans="2:14" s="145" customFormat="1" ht="23" customHeight="1" x14ac:dyDescent="0.2">
      <c r="B24" s="338" t="s">
        <v>386</v>
      </c>
      <c r="C24" s="338"/>
      <c r="D24" s="338"/>
      <c r="E24" s="338"/>
      <c r="H24" s="155" t="s">
        <v>99</v>
      </c>
      <c r="I24" s="156"/>
      <c r="J24" s="156"/>
      <c r="K24" s="157"/>
      <c r="L24" s="158" t="e">
        <f>SUMPRODUCT($K$20:$K$23,L20:L23)</f>
        <v>#N/A</v>
      </c>
    </row>
    <row r="25" spans="2:14" x14ac:dyDescent="0.2">
      <c r="B25" s="338"/>
      <c r="C25" s="338"/>
      <c r="D25" s="338"/>
      <c r="E25" s="338"/>
    </row>
    <row r="26" spans="2:14" ht="34" customHeight="1" thickBot="1" x14ac:dyDescent="0.25">
      <c r="B26" s="338"/>
      <c r="C26" s="338"/>
      <c r="D26" s="338"/>
      <c r="E26" s="338"/>
      <c r="H26" s="335" t="s">
        <v>100</v>
      </c>
      <c r="I26" s="336"/>
      <c r="J26" s="336"/>
      <c r="K26" s="336"/>
      <c r="L26" s="336"/>
      <c r="M26" s="336"/>
      <c r="N26" s="337"/>
    </row>
    <row r="27" spans="2:14" ht="15" customHeight="1" thickTop="1" x14ac:dyDescent="0.2">
      <c r="B27" s="338"/>
      <c r="C27" s="338"/>
      <c r="D27" s="338"/>
      <c r="E27" s="338"/>
      <c r="H27" s="159" t="s">
        <v>101</v>
      </c>
      <c r="I27" s="124"/>
      <c r="J27" s="125" t="str">
        <f>'Evaluacion Preliminar'!B5</f>
        <v>Adaptação</v>
      </c>
      <c r="K27" s="124"/>
      <c r="L27">
        <f>'Evaluacion Preliminar'!C16</f>
        <v>5000</v>
      </c>
      <c r="M27" s="124" t="str">
        <f>'Evaluacion Preliminar'!B16</f>
        <v>tCO2/año</v>
      </c>
      <c r="N27" s="160" t="str">
        <f>IF(L27&lt;=20000,"Micro Escala", IF(L27&lt;=60000,"Pequeña Escala","Gran Escala"))</f>
        <v>Micro Escala</v>
      </c>
    </row>
    <row r="28" spans="2:14" x14ac:dyDescent="0.2">
      <c r="B28" s="338"/>
      <c r="C28" s="338"/>
      <c r="D28" s="338"/>
      <c r="E28" s="338"/>
      <c r="H28" s="170" t="s">
        <v>102</v>
      </c>
      <c r="I28" s="171"/>
      <c r="J28" s="171"/>
      <c r="K28" s="171"/>
      <c r="L28" s="172"/>
      <c r="M28" s="171"/>
      <c r="N28" s="173"/>
    </row>
    <row r="29" spans="2:14" x14ac:dyDescent="0.2">
      <c r="B29" s="338"/>
      <c r="C29" s="338"/>
      <c r="D29" s="338"/>
      <c r="E29" s="338"/>
      <c r="H29" s="161" t="s">
        <v>82</v>
      </c>
      <c r="I29" s="118"/>
      <c r="J29" s="118"/>
      <c r="K29" s="118"/>
      <c r="L29" s="122" t="str">
        <f>+'Evaluacion Preliminar'!C7</f>
        <v>0 a 100 familias</v>
      </c>
      <c r="M29" s="118"/>
      <c r="N29" s="162"/>
    </row>
    <row r="30" spans="2:14" x14ac:dyDescent="0.2">
      <c r="H30" s="163" t="s">
        <v>83</v>
      </c>
      <c r="I30" s="116"/>
      <c r="J30" s="116"/>
      <c r="K30" s="116"/>
      <c r="L30" s="117" t="str">
        <f>+'Evaluacion Preliminar'!C8</f>
        <v>&gt; al 50.1% de la población del Municipio</v>
      </c>
      <c r="M30" s="116"/>
      <c r="N30" s="164"/>
    </row>
    <row r="31" spans="2:14" x14ac:dyDescent="0.2">
      <c r="B31" s="349" t="s">
        <v>80</v>
      </c>
      <c r="C31" s="349"/>
      <c r="D31" s="349"/>
      <c r="E31" s="349"/>
      <c r="H31" s="170" t="s">
        <v>103</v>
      </c>
      <c r="I31" s="171"/>
      <c r="J31" s="171"/>
      <c r="K31" s="171"/>
      <c r="L31" s="172"/>
      <c r="M31" s="171"/>
      <c r="N31" s="174"/>
    </row>
    <row r="32" spans="2:14" ht="23" customHeight="1" x14ac:dyDescent="0.2">
      <c r="B32" s="350" t="s">
        <v>81</v>
      </c>
      <c r="C32" s="351"/>
      <c r="D32" s="360" t="s">
        <v>387</v>
      </c>
      <c r="E32" s="361"/>
      <c r="H32" s="161" t="str">
        <f>+'Evaluacion Preliminar'!A10</f>
        <v>Investimento necessário</v>
      </c>
      <c r="I32" s="118"/>
      <c r="J32" s="118"/>
      <c r="K32" s="118"/>
      <c r="L32" s="123">
        <f>+'Evaluacion Preliminar'!C10</f>
        <v>1500000</v>
      </c>
      <c r="M32" s="118" t="str">
        <f>+'Evaluacion Preliminar'!B10</f>
        <v>Euros</v>
      </c>
      <c r="N32" s="164"/>
    </row>
    <row r="33" spans="2:14" ht="23" customHeight="1" x14ac:dyDescent="0.2">
      <c r="B33" s="352" t="s">
        <v>82</v>
      </c>
      <c r="C33" s="353"/>
      <c r="D33" s="356" t="s">
        <v>53</v>
      </c>
      <c r="E33" s="357"/>
      <c r="H33" s="163" t="str">
        <f>+'Evaluacion Preliminar'!A11</f>
        <v>Custo por tCO2 reduzido</v>
      </c>
      <c r="I33" s="116"/>
      <c r="J33" s="116"/>
      <c r="K33" s="116"/>
      <c r="L33" s="121">
        <f>+'Evaluacion Preliminar'!C11</f>
        <v>30</v>
      </c>
      <c r="M33" s="116" t="str">
        <f>+'Evaluacion Preliminar'!B11</f>
        <v>Euros/tCO2</v>
      </c>
      <c r="N33" s="165"/>
    </row>
    <row r="34" spans="2:14" ht="26" customHeight="1" x14ac:dyDescent="0.2">
      <c r="B34" s="354" t="s">
        <v>83</v>
      </c>
      <c r="C34" s="355"/>
      <c r="D34" s="358" t="s">
        <v>54</v>
      </c>
      <c r="E34" s="359"/>
      <c r="H34" s="175" t="s">
        <v>395</v>
      </c>
      <c r="I34" s="156"/>
      <c r="J34" s="156"/>
      <c r="K34" s="156"/>
      <c r="L34" s="176"/>
      <c r="M34" s="156"/>
      <c r="N34" s="177"/>
    </row>
    <row r="35" spans="2:14" x14ac:dyDescent="0.2">
      <c r="H35" s="161" t="str">
        <f>+'Evaluacion Preliminar'!A13</f>
        <v>Implementação</v>
      </c>
      <c r="I35" s="118"/>
      <c r="J35" s="118"/>
      <c r="K35" s="118"/>
      <c r="L35" s="123">
        <f>+'Evaluacion Preliminar'!C13</f>
        <v>1</v>
      </c>
      <c r="M35" s="118" t="str">
        <f>+'Evaluacion Preliminar'!B13</f>
        <v>anos</v>
      </c>
      <c r="N35" s="162"/>
    </row>
    <row r="36" spans="2:14" x14ac:dyDescent="0.2">
      <c r="B36" s="339" t="s">
        <v>85</v>
      </c>
      <c r="C36" s="339"/>
      <c r="D36" s="339"/>
      <c r="E36" s="339"/>
      <c r="H36" s="163" t="str">
        <f>+'Evaluacion Preliminar'!A14</f>
        <v>Tempo de vida</v>
      </c>
      <c r="I36" s="116"/>
      <c r="J36" s="116"/>
      <c r="K36" s="116"/>
      <c r="L36" s="121">
        <f>+'Evaluacion Preliminar'!C14</f>
        <v>10</v>
      </c>
      <c r="M36" s="116" t="str">
        <f>+'Evaluacion Preliminar'!B14</f>
        <v>anos</v>
      </c>
      <c r="N36" s="165"/>
    </row>
    <row r="37" spans="2:14" x14ac:dyDescent="0.2">
      <c r="B37" s="103" t="s">
        <v>86</v>
      </c>
      <c r="C37" s="104"/>
      <c r="D37" s="107">
        <v>1</v>
      </c>
      <c r="E37" s="147">
        <v>1500000</v>
      </c>
      <c r="H37" s="170" t="s">
        <v>396</v>
      </c>
      <c r="I37" s="171"/>
      <c r="J37" s="171"/>
      <c r="K37" s="172"/>
      <c r="L37" s="171"/>
      <c r="M37" s="171"/>
      <c r="N37" s="173"/>
    </row>
    <row r="38" spans="2:14" ht="17" x14ac:dyDescent="0.25">
      <c r="B38" s="108" t="s">
        <v>87</v>
      </c>
      <c r="D38" s="109" t="s">
        <v>89</v>
      </c>
      <c r="E38" s="147">
        <v>5000</v>
      </c>
      <c r="H38" s="166" t="s">
        <v>397</v>
      </c>
      <c r="I38" s="118"/>
      <c r="J38" s="122"/>
      <c r="K38" s="118"/>
      <c r="L38" s="118" t="str">
        <f>+'Auxiliar 2'!I19</f>
        <v>Muito baixo ou mínimo</v>
      </c>
      <c r="M38" s="118"/>
      <c r="N38" s="162"/>
    </row>
    <row r="39" spans="2:14" x14ac:dyDescent="0.2">
      <c r="B39" s="105" t="s">
        <v>88</v>
      </c>
      <c r="C39" s="106"/>
      <c r="D39" s="110" t="str">
        <f>IF(D37=1,'Auxiliar 2'!D8,IF(LEAME!D37=2,'Auxiliar 2'!D9,'Auxiliar 2'!D10))&amp;"/tCO2"</f>
        <v>Euros/tCO2</v>
      </c>
      <c r="E39" s="1">
        <f>IF(E44&lt;=0,0,E37/(E38*E44))</f>
        <v>30</v>
      </c>
      <c r="H39" s="167" t="str">
        <f>+'Datos Entrada'!D7</f>
        <v>Potencial de mudança de paradigma</v>
      </c>
      <c r="I39" s="113"/>
      <c r="J39" s="113"/>
      <c r="K39" s="113"/>
      <c r="L39" s="113" t="str">
        <f>+'Auxiliar 2'!I20</f>
        <v>Alto ou relevante</v>
      </c>
      <c r="M39" s="46"/>
      <c r="N39" s="168"/>
    </row>
    <row r="40" spans="2:14" x14ac:dyDescent="0.2">
      <c r="H40" s="167" t="str">
        <f>+'Datos Entrada'!D11&amp;" "&amp;'Datos Entrada'!D15</f>
        <v>Potencial de desenvolvimento sustentável Estratégia de saída</v>
      </c>
      <c r="I40" s="46"/>
      <c r="J40" s="46"/>
      <c r="K40" s="46"/>
      <c r="L40" s="113" t="str">
        <f>+'Auxiliar 2'!I21</f>
        <v>Médio ou parcial</v>
      </c>
      <c r="M40" s="46"/>
      <c r="N40" s="168"/>
    </row>
    <row r="41" spans="2:14" x14ac:dyDescent="0.2">
      <c r="H41" s="167" t="str">
        <f>+'Datos Entrada'!D17</f>
        <v>Necessidades dos beneficiários</v>
      </c>
      <c r="I41" s="113"/>
      <c r="J41" s="97"/>
      <c r="K41" s="113"/>
      <c r="L41" s="113" t="str">
        <f>+'Auxiliar 2'!I22</f>
        <v>Alto ou relevante</v>
      </c>
      <c r="M41" s="113"/>
      <c r="N41" s="164"/>
    </row>
    <row r="42" spans="2:14" x14ac:dyDescent="0.2">
      <c r="B42" s="339" t="s">
        <v>90</v>
      </c>
      <c r="C42" s="339"/>
      <c r="D42" s="339"/>
      <c r="E42" s="339"/>
      <c r="H42" s="167" t="str">
        <f>+'Datos Entrada'!D20</f>
        <v>Envolvimento nacional</v>
      </c>
      <c r="I42" s="113"/>
      <c r="J42" s="97"/>
      <c r="K42" s="113"/>
      <c r="L42" s="113" t="str">
        <f>+'Auxiliar 2'!I23</f>
        <v>Muito alto ou muito alto</v>
      </c>
      <c r="M42" s="113"/>
      <c r="N42" s="164"/>
    </row>
    <row r="43" spans="2:14" x14ac:dyDescent="0.2">
      <c r="B43" s="103" t="s">
        <v>92</v>
      </c>
      <c r="C43" s="104"/>
      <c r="D43" s="104" t="s">
        <v>91</v>
      </c>
      <c r="E43" s="148">
        <v>1</v>
      </c>
      <c r="H43" s="169" t="str">
        <f>+'Datos Entrada'!D24</f>
        <v>Eficiência e eficácia financeira</v>
      </c>
      <c r="I43" s="116"/>
      <c r="J43" s="117"/>
      <c r="K43" s="116"/>
      <c r="L43" s="116" t="str">
        <f>+'Auxiliar 2'!I24</f>
        <v>Baixo ou baixo</v>
      </c>
      <c r="M43" s="116"/>
      <c r="N43" s="165"/>
    </row>
    <row r="44" spans="2:14" x14ac:dyDescent="0.2">
      <c r="B44" s="105" t="s">
        <v>55</v>
      </c>
      <c r="C44" s="106"/>
      <c r="D44" s="106" t="s">
        <v>91</v>
      </c>
      <c r="E44" s="148">
        <v>10</v>
      </c>
      <c r="H44" s="170" t="s">
        <v>108</v>
      </c>
      <c r="I44" s="171"/>
      <c r="J44" s="171"/>
      <c r="K44" s="171"/>
      <c r="L44" s="171"/>
      <c r="M44" s="171"/>
      <c r="N44" s="173"/>
    </row>
    <row r="45" spans="2:14" x14ac:dyDescent="0.2">
      <c r="H45" s="166" t="s">
        <v>107</v>
      </c>
      <c r="I45" s="118"/>
      <c r="J45" s="118"/>
      <c r="K45" s="118"/>
      <c r="L45" s="119" t="s">
        <v>109</v>
      </c>
      <c r="M45" s="120">
        <f>+'ODS Analisis'!E6+'ODS Analisis'!E7+'ODS Analisis'!E12+'ODS Analisis'!E13+'ODS Analisis'!E14</f>
        <v>2</v>
      </c>
      <c r="N45" s="162" t="s">
        <v>68</v>
      </c>
    </row>
    <row r="46" spans="2:14" x14ac:dyDescent="0.2">
      <c r="H46" s="167" t="s">
        <v>106</v>
      </c>
      <c r="I46" s="113"/>
      <c r="J46" s="113"/>
      <c r="K46" s="113"/>
      <c r="L46" s="115" t="s">
        <v>109</v>
      </c>
      <c r="M46" s="114">
        <f>SUM('ODS Analisis'!E16:E20)</f>
        <v>2</v>
      </c>
      <c r="N46" s="164" t="s">
        <v>68</v>
      </c>
    </row>
    <row r="47" spans="2:14" x14ac:dyDescent="0.2">
      <c r="H47" s="167" t="s">
        <v>105</v>
      </c>
      <c r="I47" s="113"/>
      <c r="J47" s="113"/>
      <c r="K47" s="113"/>
      <c r="L47" s="115" t="s">
        <v>109</v>
      </c>
      <c r="M47" s="114">
        <f>'ODS Analisis'!E8+'ODS Analisis'!E9+'ODS Analisis'!E11+'ODS Analisis'!E15+'ODS Analisis'!E21+'ODS Analisis'!E22</f>
        <v>4</v>
      </c>
      <c r="N47" s="164" t="s">
        <v>72</v>
      </c>
    </row>
    <row r="48" spans="2:14" x14ac:dyDescent="0.2">
      <c r="H48" s="167" t="s">
        <v>104</v>
      </c>
      <c r="I48" s="113"/>
      <c r="J48" s="113"/>
      <c r="K48" s="113"/>
      <c r="L48" s="115" t="s">
        <v>109</v>
      </c>
      <c r="M48" s="114">
        <f>+'ODS Analisis'!E10</f>
        <v>1</v>
      </c>
      <c r="N48" s="164" t="s">
        <v>69</v>
      </c>
    </row>
    <row r="49" spans="8:14" x14ac:dyDescent="0.2">
      <c r="H49" s="178"/>
      <c r="I49" s="179"/>
      <c r="J49" s="179"/>
      <c r="K49" s="179"/>
      <c r="L49" s="180" t="s">
        <v>381</v>
      </c>
      <c r="M49" s="181">
        <f>SUM(M45:M48)</f>
        <v>9</v>
      </c>
      <c r="N49" s="182" t="s">
        <v>70</v>
      </c>
    </row>
  </sheetData>
  <mergeCells count="15">
    <mergeCell ref="B42:E42"/>
    <mergeCell ref="B31:E31"/>
    <mergeCell ref="B32:C32"/>
    <mergeCell ref="B33:C33"/>
    <mergeCell ref="B34:C34"/>
    <mergeCell ref="D33:E33"/>
    <mergeCell ref="D34:E34"/>
    <mergeCell ref="D32:E32"/>
    <mergeCell ref="B36:E36"/>
    <mergeCell ref="H26:N26"/>
    <mergeCell ref="B24:E29"/>
    <mergeCell ref="B7:E7"/>
    <mergeCell ref="B19:E21"/>
    <mergeCell ref="B23:E23"/>
    <mergeCell ref="B18:E18"/>
  </mergeCells>
  <pageMargins left="0.7" right="0.7" top="0.75" bottom="0.75" header="0.3" footer="0.3"/>
  <pageSetup paperSize="9" orientation="portrait" horizontalDpi="300" verticalDpi="0" copies="0" r:id="rId1"/>
  <ignoredErrors>
    <ignoredError sqref="M46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7" r:id="rId4" name="Option Button 7">
              <controlPr defaultSize="0" autoFill="0" autoLine="0" autoPict="0">
                <anchor moveWithCells="1">
                  <from>
                    <xdr:col>0</xdr:col>
                    <xdr:colOff>774700</xdr:colOff>
                    <xdr:row>6</xdr:row>
                    <xdr:rowOff>177800</xdr:rowOff>
                  </from>
                  <to>
                    <xdr:col>2</xdr:col>
                    <xdr:colOff>546100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5" name="Option Button 8">
              <controlPr defaultSize="0" autoFill="0" autoLine="0" autoPict="0">
                <anchor moveWithCells="1">
                  <from>
                    <xdr:col>2</xdr:col>
                    <xdr:colOff>723900</xdr:colOff>
                    <xdr:row>6</xdr:row>
                    <xdr:rowOff>177800</xdr:rowOff>
                  </from>
                  <to>
                    <xdr:col>4</xdr:col>
                    <xdr:colOff>355600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6" name="Option Button 9">
              <controlPr defaultSize="0" autoFill="0" autoLine="0" autoPict="0">
                <anchor moveWithCells="1">
                  <from>
                    <xdr:col>1</xdr:col>
                    <xdr:colOff>635000</xdr:colOff>
                    <xdr:row>9</xdr:row>
                    <xdr:rowOff>50800</xdr:rowOff>
                  </from>
                  <to>
                    <xdr:col>3</xdr:col>
                    <xdr:colOff>444500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7" name="Drop Down 10">
              <controlPr defaultSize="0" autoLine="0" autoPict="0">
                <anchor moveWithCells="1">
                  <from>
                    <xdr:col>3</xdr:col>
                    <xdr:colOff>76200</xdr:colOff>
                    <xdr:row>35</xdr:row>
                    <xdr:rowOff>177800</xdr:rowOff>
                  </from>
                  <to>
                    <xdr:col>3</xdr:col>
                    <xdr:colOff>889000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8" name="Option Button 11">
              <controlPr defaultSize="0" autoFill="0" autoLine="0" autoPict="0">
                <anchor moveWithCells="1">
                  <from>
                    <xdr:col>0</xdr:col>
                    <xdr:colOff>800100</xdr:colOff>
                    <xdr:row>6</xdr:row>
                    <xdr:rowOff>165100</xdr:rowOff>
                  </from>
                  <to>
                    <xdr:col>2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9" name="Option Button 12">
              <controlPr defaultSize="0" autoFill="0" autoLine="0" autoPict="0">
                <anchor moveWithCells="1">
                  <from>
                    <xdr:col>2</xdr:col>
                    <xdr:colOff>749300</xdr:colOff>
                    <xdr:row>6</xdr:row>
                    <xdr:rowOff>165100</xdr:rowOff>
                  </from>
                  <to>
                    <xdr:col>4</xdr:col>
                    <xdr:colOff>520700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0" name="Option Button 13">
              <controlPr defaultSize="0" autoFill="0" autoLine="0" autoPict="0">
                <anchor moveWithCells="1">
                  <from>
                    <xdr:col>1</xdr:col>
                    <xdr:colOff>660400</xdr:colOff>
                    <xdr:row>9</xdr:row>
                    <xdr:rowOff>38100</xdr:rowOff>
                  </from>
                  <to>
                    <xdr:col>3</xdr:col>
                    <xdr:colOff>469900</xdr:colOff>
                    <xdr:row>11</xdr:row>
                    <xdr:rowOff>63500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'Auxiliar 2'!$C$8:$C$11</xm:f>
          </x14:formula1>
          <xm:sqref>D33:E33</xm:sqref>
        </x14:dataValidation>
        <x14:dataValidation type="list" allowBlank="1" showInputMessage="1" showErrorMessage="1" xr:uid="{00000000-0002-0000-0000-000001000000}">
          <x14:formula1>
            <xm:f>'Auxiliar 2'!$C$14:$C$19</xm:f>
          </x14:formula1>
          <xm:sqref>D34:E34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42"/>
  <sheetViews>
    <sheetView workbookViewId="0">
      <selection activeCell="G15" sqref="G15"/>
    </sheetView>
  </sheetViews>
  <sheetFormatPr baseColWidth="10" defaultRowHeight="15" x14ac:dyDescent="0.2"/>
  <cols>
    <col min="3" max="3" width="36.83203125" customWidth="1"/>
    <col min="6" max="6" width="10.6640625" customWidth="1"/>
    <col min="7" max="7" width="26.1640625" customWidth="1"/>
    <col min="10" max="10" width="23.6640625" customWidth="1"/>
    <col min="11" max="11" width="21.5" customWidth="1"/>
    <col min="12" max="12" width="24" customWidth="1"/>
  </cols>
  <sheetData>
    <row r="2" spans="2:4" x14ac:dyDescent="0.2">
      <c r="C2" s="99" t="s">
        <v>347</v>
      </c>
    </row>
    <row r="3" spans="2:4" x14ac:dyDescent="0.2">
      <c r="B3">
        <v>1</v>
      </c>
      <c r="C3" s="99" t="s">
        <v>159</v>
      </c>
      <c r="D3" t="s">
        <v>349</v>
      </c>
    </row>
    <row r="4" spans="2:4" x14ac:dyDescent="0.2">
      <c r="B4">
        <v>2</v>
      </c>
      <c r="C4" t="s">
        <v>348</v>
      </c>
      <c r="D4" t="s">
        <v>350</v>
      </c>
    </row>
    <row r="5" spans="2:4" x14ac:dyDescent="0.2">
      <c r="B5">
        <v>3</v>
      </c>
      <c r="C5" t="s">
        <v>158</v>
      </c>
      <c r="D5" t="s">
        <v>351</v>
      </c>
    </row>
    <row r="7" spans="2:4" x14ac:dyDescent="0.2">
      <c r="C7" t="s">
        <v>82</v>
      </c>
      <c r="D7" t="s">
        <v>352</v>
      </c>
    </row>
    <row r="8" spans="2:4" x14ac:dyDescent="0.2">
      <c r="C8" t="s">
        <v>84</v>
      </c>
      <c r="D8" t="s">
        <v>56</v>
      </c>
    </row>
    <row r="9" spans="2:4" x14ac:dyDescent="0.2">
      <c r="C9" t="s">
        <v>355</v>
      </c>
      <c r="D9" t="s">
        <v>353</v>
      </c>
    </row>
    <row r="10" spans="2:4" x14ac:dyDescent="0.2">
      <c r="C10" t="s">
        <v>356</v>
      </c>
      <c r="D10" t="s">
        <v>354</v>
      </c>
    </row>
    <row r="11" spans="2:4" x14ac:dyDescent="0.2">
      <c r="C11" t="s">
        <v>357</v>
      </c>
    </row>
    <row r="13" spans="2:4" x14ac:dyDescent="0.2">
      <c r="C13" t="s">
        <v>83</v>
      </c>
    </row>
    <row r="14" spans="2:4" x14ac:dyDescent="0.2">
      <c r="C14" t="s">
        <v>358</v>
      </c>
    </row>
    <row r="15" spans="2:4" x14ac:dyDescent="0.2">
      <c r="C15" t="s">
        <v>359</v>
      </c>
    </row>
    <row r="16" spans="2:4" x14ac:dyDescent="0.2">
      <c r="C16" t="s">
        <v>360</v>
      </c>
    </row>
    <row r="17" spans="2:9" x14ac:dyDescent="0.2">
      <c r="C17" t="s">
        <v>361</v>
      </c>
    </row>
    <row r="19" spans="2:9" x14ac:dyDescent="0.2">
      <c r="B19">
        <v>0</v>
      </c>
      <c r="C19" t="s">
        <v>284</v>
      </c>
      <c r="D19" t="s">
        <v>366</v>
      </c>
      <c r="H19">
        <f>ROUNDUP(+'Criterios inversion'!G6,0)</f>
        <v>1</v>
      </c>
      <c r="I19" t="str">
        <f>VLOOKUP(H19,$B$19:$C$24,2,0)</f>
        <v>Muito baixo ou mínimo</v>
      </c>
    </row>
    <row r="20" spans="2:9" x14ac:dyDescent="0.2">
      <c r="B20">
        <v>1</v>
      </c>
      <c r="C20" t="s">
        <v>362</v>
      </c>
      <c r="D20" t="s">
        <v>151</v>
      </c>
      <c r="H20">
        <f>ROUNDUP(+'Criterios inversion'!G12,0)</f>
        <v>4</v>
      </c>
      <c r="I20" t="str">
        <f t="shared" ref="I20:I24" si="0">VLOOKUP(H20,$B$19:$C$24,2,0)</f>
        <v>Alto ou relevante</v>
      </c>
    </row>
    <row r="21" spans="2:9" x14ac:dyDescent="0.2">
      <c r="B21">
        <v>2</v>
      </c>
      <c r="C21" t="s">
        <v>363</v>
      </c>
      <c r="D21" t="s">
        <v>367</v>
      </c>
      <c r="H21">
        <f>ROUNDUP(+'Criterios inversion'!G20,0)</f>
        <v>3</v>
      </c>
      <c r="I21" t="str">
        <f t="shared" si="0"/>
        <v>Médio ou parcial</v>
      </c>
    </row>
    <row r="22" spans="2:9" x14ac:dyDescent="0.2">
      <c r="B22">
        <v>3</v>
      </c>
      <c r="C22" t="s">
        <v>282</v>
      </c>
      <c r="D22" t="s">
        <v>154</v>
      </c>
      <c r="H22">
        <f>ROUNDUP(+'Criterios inversion'!G25,0)</f>
        <v>4</v>
      </c>
      <c r="I22" t="str">
        <f t="shared" si="0"/>
        <v>Alto ou relevante</v>
      </c>
    </row>
    <row r="23" spans="2:9" x14ac:dyDescent="0.2">
      <c r="B23">
        <v>4</v>
      </c>
      <c r="C23" t="s">
        <v>364</v>
      </c>
      <c r="D23" t="s">
        <v>155</v>
      </c>
      <c r="H23">
        <f>ROUNDUP(+'Criterios inversion'!G31,0)</f>
        <v>5</v>
      </c>
      <c r="I23" t="str">
        <f t="shared" si="0"/>
        <v>Muito alto ou muito alto</v>
      </c>
    </row>
    <row r="24" spans="2:9" x14ac:dyDescent="0.2">
      <c r="B24">
        <v>5</v>
      </c>
      <c r="C24" t="s">
        <v>365</v>
      </c>
      <c r="D24" t="s">
        <v>202</v>
      </c>
      <c r="H24">
        <f>ROUNDUP(+'Criterios inversion'!G38,0)</f>
        <v>2</v>
      </c>
      <c r="I24" t="str">
        <f t="shared" si="0"/>
        <v>Baixo ou baixo</v>
      </c>
    </row>
    <row r="26" spans="2:9" x14ac:dyDescent="0.2">
      <c r="B26">
        <v>0</v>
      </c>
      <c r="C26" t="s">
        <v>279</v>
      </c>
    </row>
    <row r="27" spans="2:9" x14ac:dyDescent="0.2">
      <c r="B27">
        <v>1</v>
      </c>
      <c r="C27" t="s">
        <v>49</v>
      </c>
    </row>
    <row r="29" spans="2:9" x14ac:dyDescent="0.2">
      <c r="C29" t="s">
        <v>368</v>
      </c>
    </row>
    <row r="30" spans="2:9" x14ac:dyDescent="0.2">
      <c r="C30" t="s">
        <v>369</v>
      </c>
    </row>
    <row r="31" spans="2:9" x14ac:dyDescent="0.2">
      <c r="C31" t="s">
        <v>370</v>
      </c>
    </row>
    <row r="33" spans="3:19" x14ac:dyDescent="0.2">
      <c r="C33" s="127" t="s">
        <v>371</v>
      </c>
      <c r="D33" s="139" t="s">
        <v>373</v>
      </c>
    </row>
    <row r="34" spans="3:19" x14ac:dyDescent="0.2">
      <c r="C34" s="130" t="s">
        <v>372</v>
      </c>
      <c r="D34" s="130" t="s">
        <v>73</v>
      </c>
      <c r="E34" s="140" t="s">
        <v>75</v>
      </c>
      <c r="F34" s="141" t="s">
        <v>74</v>
      </c>
      <c r="G34" s="130" t="s">
        <v>73</v>
      </c>
      <c r="H34" s="140" t="s">
        <v>75</v>
      </c>
      <c r="I34" s="141" t="s">
        <v>74</v>
      </c>
      <c r="J34" s="130" t="s">
        <v>73</v>
      </c>
      <c r="K34" s="140" t="s">
        <v>75</v>
      </c>
      <c r="L34" s="141" t="s">
        <v>74</v>
      </c>
    </row>
    <row r="35" spans="3:19" x14ac:dyDescent="0.2">
      <c r="C35" s="131">
        <f>+LEAME!C11</f>
        <v>6</v>
      </c>
      <c r="D35" s="131">
        <v>1</v>
      </c>
      <c r="E35" s="128">
        <v>2</v>
      </c>
      <c r="F35" s="142">
        <v>3</v>
      </c>
      <c r="G35" s="131">
        <v>1</v>
      </c>
      <c r="H35" s="128">
        <v>2</v>
      </c>
      <c r="I35" s="142">
        <v>3</v>
      </c>
      <c r="J35" s="131">
        <v>1</v>
      </c>
      <c r="K35" s="128">
        <v>2</v>
      </c>
      <c r="L35" s="142">
        <v>3</v>
      </c>
    </row>
    <row r="36" spans="3:19" x14ac:dyDescent="0.2">
      <c r="C36" s="11" t="str">
        <f>+'Politica Financiera'!B16</f>
        <v>Otimiza o consumo de matéria-prima</v>
      </c>
      <c r="D36" s="132" t="s">
        <v>374</v>
      </c>
      <c r="E36" s="3" t="s">
        <v>374</v>
      </c>
      <c r="F36" s="134" t="s">
        <v>374</v>
      </c>
      <c r="G36" s="136">
        <v>0</v>
      </c>
      <c r="H36" s="137">
        <v>0</v>
      </c>
      <c r="I36" s="138">
        <v>0</v>
      </c>
    </row>
    <row r="37" spans="3:19" ht="44.75" customHeight="1" x14ac:dyDescent="0.2">
      <c r="C37" s="11" t="str">
        <f>+'Politica Financiera'!B17</f>
        <v>Otimiza o consumo de água</v>
      </c>
      <c r="D37" s="132" t="s">
        <v>374</v>
      </c>
      <c r="E37" s="10">
        <v>0.4</v>
      </c>
      <c r="F37" s="135">
        <v>0.4</v>
      </c>
      <c r="G37" s="136">
        <v>0</v>
      </c>
      <c r="H37" s="137">
        <f t="shared" ref="H37:I41" si="1">IF(E37="No aplica",0,E37)</f>
        <v>0.4</v>
      </c>
      <c r="I37" s="138">
        <f t="shared" si="1"/>
        <v>0.4</v>
      </c>
      <c r="J37" s="66"/>
      <c r="K37" s="66" t="s">
        <v>375</v>
      </c>
      <c r="L37" s="66" t="s">
        <v>375</v>
      </c>
      <c r="M37" s="66"/>
      <c r="N37" s="66"/>
      <c r="O37" s="66"/>
      <c r="P37" s="66"/>
      <c r="Q37" s="66"/>
      <c r="R37" s="66"/>
      <c r="S37" s="66"/>
    </row>
    <row r="38" spans="3:19" ht="47" customHeight="1" x14ac:dyDescent="0.2">
      <c r="C38" s="11" t="str">
        <f>+'Politica Financiera'!B18</f>
        <v>Otimiza o consumo de energia</v>
      </c>
      <c r="D38" s="132" t="s">
        <v>374</v>
      </c>
      <c r="E38" s="10">
        <v>0.2</v>
      </c>
      <c r="F38" s="135">
        <v>0.2</v>
      </c>
      <c r="G38" s="136">
        <v>0</v>
      </c>
      <c r="H38" s="137">
        <f t="shared" si="1"/>
        <v>0.2</v>
      </c>
      <c r="I38" s="138">
        <f t="shared" si="1"/>
        <v>0.2</v>
      </c>
      <c r="J38" s="66"/>
      <c r="K38" s="66" t="s">
        <v>376</v>
      </c>
      <c r="L38" s="66" t="s">
        <v>376</v>
      </c>
      <c r="M38" s="66"/>
      <c r="N38" s="66"/>
      <c r="O38" s="66"/>
      <c r="P38" s="66"/>
      <c r="Q38" s="66"/>
      <c r="R38" s="66"/>
      <c r="S38" s="66"/>
    </row>
    <row r="39" spans="3:19" ht="30" customHeight="1" x14ac:dyDescent="0.2">
      <c r="C39" s="11" t="str">
        <f>+'Politica Financiera'!B19</f>
        <v>Otimização do espaço usado pelo projeto (solo)</v>
      </c>
      <c r="D39" s="133">
        <v>0.5</v>
      </c>
      <c r="E39" s="10">
        <v>0.2</v>
      </c>
      <c r="F39" s="135">
        <v>0.2</v>
      </c>
      <c r="G39" s="136">
        <f t="shared" ref="G39:G41" si="2">IF(D39="No aplica",0,D39)</f>
        <v>0.5</v>
      </c>
      <c r="H39" s="137">
        <f t="shared" si="1"/>
        <v>0.2</v>
      </c>
      <c r="I39" s="138">
        <f t="shared" si="1"/>
        <v>0.2</v>
      </c>
      <c r="J39" s="66" t="s">
        <v>378</v>
      </c>
      <c r="K39" s="66" t="s">
        <v>377</v>
      </c>
      <c r="L39" s="66" t="s">
        <v>377</v>
      </c>
      <c r="M39" s="66"/>
      <c r="N39" s="66"/>
      <c r="O39" s="66"/>
      <c r="P39" s="66"/>
      <c r="Q39" s="66"/>
      <c r="R39" s="66"/>
      <c r="S39" s="66"/>
    </row>
    <row r="40" spans="3:19" ht="57.75" customHeight="1" x14ac:dyDescent="0.2">
      <c r="C40" s="11" t="str">
        <f>+'Politica Financiera'!B20</f>
        <v>Possibilidades de reciclagem e gerenciamento de resíduos.</v>
      </c>
      <c r="D40" s="133">
        <v>0.4</v>
      </c>
      <c r="E40" s="3" t="s">
        <v>374</v>
      </c>
      <c r="F40" s="135">
        <v>0.1</v>
      </c>
      <c r="G40" s="136">
        <f t="shared" si="2"/>
        <v>0.4</v>
      </c>
      <c r="H40" s="137">
        <v>0</v>
      </c>
      <c r="I40" s="138">
        <f t="shared" si="1"/>
        <v>0.1</v>
      </c>
      <c r="J40" s="66" t="s">
        <v>379</v>
      </c>
      <c r="K40" s="66"/>
      <c r="L40" s="66" t="s">
        <v>379</v>
      </c>
      <c r="M40" s="66"/>
      <c r="N40" s="66"/>
      <c r="O40" s="66"/>
      <c r="P40" s="66"/>
      <c r="Q40" s="66"/>
      <c r="R40" s="66"/>
      <c r="S40" s="66"/>
    </row>
    <row r="41" spans="3:19" ht="45" customHeight="1" x14ac:dyDescent="0.2">
      <c r="C41" s="11" t="str">
        <f>+'Politica Financiera'!B21</f>
        <v>Maximiza o uso de recursos renováveis e não renováveis</v>
      </c>
      <c r="D41" s="133">
        <v>0.1</v>
      </c>
      <c r="E41" s="10">
        <v>0.2</v>
      </c>
      <c r="F41" s="135">
        <v>0.1</v>
      </c>
      <c r="G41" s="136">
        <f t="shared" si="2"/>
        <v>0.1</v>
      </c>
      <c r="H41" s="137">
        <f t="shared" si="1"/>
        <v>0.2</v>
      </c>
      <c r="I41" s="138">
        <f t="shared" si="1"/>
        <v>0.1</v>
      </c>
      <c r="J41" s="66" t="s">
        <v>380</v>
      </c>
      <c r="K41" s="66" t="s">
        <v>380</v>
      </c>
      <c r="L41" s="66" t="s">
        <v>380</v>
      </c>
      <c r="M41" s="66"/>
      <c r="N41" s="66"/>
      <c r="O41" s="66"/>
      <c r="P41" s="66"/>
      <c r="Q41" s="66"/>
      <c r="R41" s="66"/>
      <c r="S41" s="66"/>
    </row>
    <row r="42" spans="3:19" x14ac:dyDescent="0.2">
      <c r="C42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O5" sqref="O5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7"/>
  <sheetViews>
    <sheetView zoomScale="57" zoomScaleNormal="57" workbookViewId="0">
      <selection activeCell="Q11" sqref="Q11"/>
    </sheetView>
  </sheetViews>
  <sheetFormatPr baseColWidth="10" defaultRowHeight="15" x14ac:dyDescent="0.2"/>
  <cols>
    <col min="1" max="1" width="8.83203125" customWidth="1"/>
    <col min="2" max="2" width="12.33203125" customWidth="1"/>
    <col min="3" max="3" width="11.1640625" style="3" customWidth="1"/>
    <col min="4" max="4" width="18.33203125" customWidth="1"/>
    <col min="5" max="5" width="23" customWidth="1"/>
    <col min="6" max="6" width="29.6640625" customWidth="1"/>
    <col min="7" max="7" width="13.1640625" customWidth="1"/>
    <col min="8" max="12" width="13.83203125" customWidth="1"/>
    <col min="13" max="13" width="14.1640625" customWidth="1"/>
  </cols>
  <sheetData>
    <row r="1" spans="2:13" x14ac:dyDescent="0.2">
      <c r="G1" s="16"/>
    </row>
    <row r="2" spans="2:13" ht="16" thickBot="1" x14ac:dyDescent="0.25">
      <c r="B2" s="407" t="s">
        <v>110</v>
      </c>
      <c r="C2" s="409" t="s">
        <v>111</v>
      </c>
      <c r="D2" s="409" t="s">
        <v>112</v>
      </c>
      <c r="E2" s="401" t="s">
        <v>113</v>
      </c>
      <c r="F2" s="190" t="s">
        <v>114</v>
      </c>
      <c r="G2" s="403" t="s">
        <v>116</v>
      </c>
      <c r="H2" s="195">
        <v>0</v>
      </c>
      <c r="I2" s="195">
        <f>+H2+1</f>
        <v>1</v>
      </c>
      <c r="J2" s="195">
        <f t="shared" ref="J2:M2" si="0">+I2+1</f>
        <v>2</v>
      </c>
      <c r="K2" s="195">
        <f t="shared" si="0"/>
        <v>3</v>
      </c>
      <c r="L2" s="195">
        <f t="shared" si="0"/>
        <v>4</v>
      </c>
      <c r="M2" s="195">
        <f t="shared" si="0"/>
        <v>5</v>
      </c>
    </row>
    <row r="3" spans="2:13" ht="65" thickBot="1" x14ac:dyDescent="0.25">
      <c r="B3" s="408"/>
      <c r="C3" s="410"/>
      <c r="D3" s="410"/>
      <c r="E3" s="402"/>
      <c r="F3" s="191" t="s">
        <v>115</v>
      </c>
      <c r="G3" s="404"/>
      <c r="H3" s="196" t="s">
        <v>117</v>
      </c>
      <c r="I3" s="197" t="s">
        <v>118</v>
      </c>
      <c r="J3" s="197" t="s">
        <v>119</v>
      </c>
      <c r="K3" s="197" t="s">
        <v>120</v>
      </c>
      <c r="L3" s="197" t="s">
        <v>121</v>
      </c>
      <c r="M3" s="197" t="s">
        <v>392</v>
      </c>
    </row>
    <row r="4" spans="2:13" x14ac:dyDescent="0.2">
      <c r="B4" s="415"/>
      <c r="C4" s="416">
        <v>1</v>
      </c>
      <c r="D4" s="417" t="s">
        <v>150</v>
      </c>
      <c r="E4" s="17" t="s">
        <v>148</v>
      </c>
      <c r="F4" s="18">
        <f>IF(LEAME!$C$11=1,Auxiliar!F4,IF(LEAME!$C$11=2,Auxiliar!G4,Auxiliar!H4))</f>
        <v>0.5</v>
      </c>
      <c r="G4" s="192">
        <v>0</v>
      </c>
      <c r="H4" s="377" t="s">
        <v>122</v>
      </c>
      <c r="I4" s="378"/>
      <c r="J4" s="378"/>
      <c r="K4" s="378"/>
      <c r="L4" s="378"/>
      <c r="M4" s="378"/>
    </row>
    <row r="5" spans="2:13" x14ac:dyDescent="0.2">
      <c r="B5" s="411"/>
      <c r="C5" s="412"/>
      <c r="D5" s="414"/>
      <c r="E5" s="19" t="s">
        <v>149</v>
      </c>
      <c r="F5" s="21">
        <f>IF(LEAME!$C$11=1,Auxiliar!F5,IF(LEAME!$C$11=2,Auxiliar!G5,Auxiliar!H5))</f>
        <v>0.5</v>
      </c>
      <c r="G5" s="193">
        <v>2</v>
      </c>
      <c r="H5" s="379" t="s">
        <v>123</v>
      </c>
      <c r="I5" s="380"/>
      <c r="J5" s="380"/>
      <c r="K5" s="380"/>
      <c r="L5" s="380"/>
      <c r="M5" s="380"/>
    </row>
    <row r="6" spans="2:13" x14ac:dyDescent="0.2">
      <c r="B6" s="183"/>
      <c r="C6" s="23"/>
      <c r="D6" s="22"/>
      <c r="E6" s="22"/>
      <c r="F6" s="22"/>
      <c r="G6" s="23"/>
      <c r="M6" s="109"/>
    </row>
    <row r="7" spans="2:13" ht="39" x14ac:dyDescent="0.2">
      <c r="B7" s="184"/>
      <c r="C7" s="24">
        <v>2</v>
      </c>
      <c r="D7" s="405" t="s">
        <v>151</v>
      </c>
      <c r="E7" s="61" t="s">
        <v>147</v>
      </c>
      <c r="F7" s="59">
        <f>IF(LEAME!$C$11=1,Auxiliar!F9,IF(LEAME!$C$11=2,Auxiliar!G9,Auxiliar!H9))</f>
        <v>0.2</v>
      </c>
      <c r="G7" s="193">
        <v>0</v>
      </c>
      <c r="H7" s="365" t="s">
        <v>124</v>
      </c>
      <c r="I7" s="366"/>
      <c r="J7" s="366"/>
      <c r="K7" s="366"/>
      <c r="L7" s="366"/>
      <c r="M7" s="367"/>
    </row>
    <row r="8" spans="2:13" ht="39" x14ac:dyDescent="0.2">
      <c r="B8" s="185"/>
      <c r="C8" s="28"/>
      <c r="D8" s="406"/>
      <c r="E8" s="61" t="s">
        <v>146</v>
      </c>
      <c r="F8" s="63">
        <f>IF(LEAME!$C$11=1,Auxiliar!F10,IF(LEAME!$C$11=2,Auxiliar!G10,Auxiliar!H10))</f>
        <v>0.4</v>
      </c>
      <c r="G8" s="193">
        <v>3</v>
      </c>
      <c r="H8" s="371" t="s">
        <v>125</v>
      </c>
      <c r="I8" s="372"/>
      <c r="J8" s="372"/>
      <c r="K8" s="372"/>
      <c r="L8" s="372"/>
      <c r="M8" s="373"/>
    </row>
    <row r="9" spans="2:13" ht="26" customHeight="1" x14ac:dyDescent="0.2">
      <c r="B9" s="185"/>
      <c r="C9" s="28"/>
      <c r="D9" s="27"/>
      <c r="E9" s="62" t="s">
        <v>145</v>
      </c>
      <c r="F9" s="30">
        <f>IF(LEAME!$C$11=1,Auxiliar!F11,IF(LEAME!$C$11=2,Auxiliar!G11,Auxiliar!H11))</f>
        <v>0.4</v>
      </c>
      <c r="G9" s="193">
        <v>5</v>
      </c>
      <c r="H9" s="368" t="s">
        <v>126</v>
      </c>
      <c r="I9" s="369"/>
      <c r="J9" s="369"/>
      <c r="K9" s="369"/>
      <c r="L9" s="369"/>
      <c r="M9" s="370"/>
    </row>
    <row r="10" spans="2:13" x14ac:dyDescent="0.2">
      <c r="B10" s="186"/>
      <c r="C10" s="32"/>
      <c r="D10" s="31"/>
      <c r="E10" s="31"/>
      <c r="F10" s="32"/>
      <c r="G10" s="32"/>
      <c r="M10" s="109"/>
    </row>
    <row r="11" spans="2:13" x14ac:dyDescent="0.2">
      <c r="B11" s="411"/>
      <c r="C11" s="412">
        <v>3</v>
      </c>
      <c r="D11" s="413" t="s">
        <v>152</v>
      </c>
      <c r="E11" s="33" t="s">
        <v>144</v>
      </c>
      <c r="F11" s="34">
        <f>IF(LEAME!$C$11=1,Auxiliar!F15,IF(LEAME!$C$11=2,Auxiliar!G15,Auxiliar!H15))</f>
        <v>0.1</v>
      </c>
      <c r="G11" s="193">
        <v>0</v>
      </c>
      <c r="H11" s="381" t="s">
        <v>127</v>
      </c>
      <c r="I11" s="382"/>
      <c r="J11" s="382"/>
      <c r="K11" s="382"/>
      <c r="L11" s="382"/>
      <c r="M11" s="383"/>
    </row>
    <row r="12" spans="2:13" x14ac:dyDescent="0.2">
      <c r="B12" s="411"/>
      <c r="C12" s="412"/>
      <c r="D12" s="414"/>
      <c r="E12" s="19" t="s">
        <v>143</v>
      </c>
      <c r="F12" s="21">
        <f>IF(LEAME!$C$11=1,Auxiliar!F16,IF(LEAME!$C$11=2,Auxiliar!G16,Auxiliar!H16))</f>
        <v>0.25</v>
      </c>
      <c r="G12" s="193">
        <v>0</v>
      </c>
      <c r="H12" s="362" t="s">
        <v>128</v>
      </c>
      <c r="I12" s="363"/>
      <c r="J12" s="363"/>
      <c r="K12" s="363"/>
      <c r="L12" s="363"/>
      <c r="M12" s="364"/>
    </row>
    <row r="13" spans="2:13" x14ac:dyDescent="0.2">
      <c r="B13" s="411"/>
      <c r="C13" s="412"/>
      <c r="D13" s="414"/>
      <c r="E13" s="19" t="s">
        <v>142</v>
      </c>
      <c r="F13" s="21">
        <f>IF(LEAME!$C$11=1,Auxiliar!F17,IF(LEAME!$C$11=2,Auxiliar!G17,Auxiliar!H17))</f>
        <v>0.1</v>
      </c>
      <c r="G13" s="193">
        <v>5</v>
      </c>
      <c r="H13" s="362" t="s">
        <v>129</v>
      </c>
      <c r="I13" s="363"/>
      <c r="J13" s="363"/>
      <c r="K13" s="363"/>
      <c r="L13" s="363"/>
      <c r="M13" s="364"/>
    </row>
    <row r="14" spans="2:13" x14ac:dyDescent="0.2">
      <c r="B14" s="397"/>
      <c r="C14" s="399"/>
      <c r="D14" s="414"/>
      <c r="E14" s="19" t="s">
        <v>141</v>
      </c>
      <c r="F14" s="21">
        <f>IF(LEAME!$C$11=1,Auxiliar!F18,IF(LEAME!$C$11=2,Auxiliar!G18,Auxiliar!H18))</f>
        <v>0.25</v>
      </c>
      <c r="G14" s="193">
        <v>5</v>
      </c>
      <c r="H14" s="362" t="s">
        <v>130</v>
      </c>
      <c r="I14" s="363"/>
      <c r="J14" s="363"/>
      <c r="K14" s="363"/>
      <c r="L14" s="363"/>
      <c r="M14" s="364"/>
    </row>
    <row r="15" spans="2:13" ht="64" x14ac:dyDescent="0.2">
      <c r="B15" s="187"/>
      <c r="C15" s="20"/>
      <c r="D15" s="19" t="s">
        <v>153</v>
      </c>
      <c r="E15" s="35" t="s">
        <v>140</v>
      </c>
      <c r="F15" s="64">
        <f>IF(LEAME!$C$11=1,Auxiliar!F19,IF(LEAME!$C$11=2,Auxiliar!G19,Auxiliar!H19))</f>
        <v>0.3</v>
      </c>
      <c r="G15" s="193">
        <v>4</v>
      </c>
      <c r="H15" s="374" t="s">
        <v>131</v>
      </c>
      <c r="I15" s="375"/>
      <c r="J15" s="375"/>
      <c r="K15" s="375"/>
      <c r="L15" s="375"/>
      <c r="M15" s="376"/>
    </row>
    <row r="16" spans="2:13" x14ac:dyDescent="0.2">
      <c r="B16" s="183"/>
      <c r="C16" s="23"/>
      <c r="D16" s="22"/>
      <c r="E16" s="22"/>
      <c r="F16" s="22"/>
      <c r="G16" s="23"/>
      <c r="M16" s="109"/>
    </row>
    <row r="17" spans="2:13" ht="68.25" customHeight="1" x14ac:dyDescent="0.2">
      <c r="B17" s="384"/>
      <c r="C17" s="387">
        <v>4</v>
      </c>
      <c r="D17" s="396" t="s">
        <v>154</v>
      </c>
      <c r="E17" s="67" t="s">
        <v>139</v>
      </c>
      <c r="F17" s="59">
        <f>IF(LEAME!$C$11=1,Auxiliar!F23,IF(LEAME!$C$11=2,Auxiliar!G23,Auxiliar!H23))</f>
        <v>0.5</v>
      </c>
      <c r="G17" s="193">
        <v>5</v>
      </c>
      <c r="H17" s="351" t="str">
        <f>IF(LEAME!$C$11=1,Auxiliar!F45,IF(LEAME!$C$11=2,Auxiliar!G45,Auxiliar!H45))</f>
        <v>Procura reduzir a vulnerabilidade e os desafios enfrentados pelos agricultores e pelos sistemas alimentares como resultado das mudanças climáticas.</v>
      </c>
      <c r="I17" s="351">
        <f>IF(LEAME!$C$11=1,Auxiliar!J43,IF(LEAME!$C$11=2,Auxiliar!K43,Auxiliar!L43))</f>
        <v>0</v>
      </c>
      <c r="J17" s="351">
        <f>IF(LEAME!$C$11=1,Auxiliar!K43,IF(LEAME!$C$11=2,Auxiliar!L43,Auxiliar!M43))</f>
        <v>0</v>
      </c>
      <c r="K17" s="351">
        <f>IF(LEAME!$C$11=1,Auxiliar!L43,IF(LEAME!$C$11=2,Auxiliar!M43,Auxiliar!N43))</f>
        <v>0</v>
      </c>
      <c r="L17" s="351">
        <f>IF(LEAME!$C$11=1,Auxiliar!M43,IF(LEAME!$C$11=2,Auxiliar!N43,Auxiliar!O43))</f>
        <v>0</v>
      </c>
      <c r="M17" s="395">
        <f>IF(LEAME!$C$11=1,Auxiliar!N43,IF(LEAME!$C$11=2,Auxiliar!O43,Auxiliar!P43))</f>
        <v>0</v>
      </c>
    </row>
    <row r="18" spans="2:13" ht="72" customHeight="1" x14ac:dyDescent="0.2">
      <c r="B18" s="385"/>
      <c r="C18" s="388"/>
      <c r="D18" s="390"/>
      <c r="E18" s="25" t="str">
        <f>IF(LEAME!$C$11=1,Auxiliar!F44,IF(LEAME!$C$11=2,Auxiliar!G44,Auxiliar!H44))</f>
        <v>Há interesse em fontes alternativas de financiamento</v>
      </c>
      <c r="F18" s="59">
        <f>IF(LEAME!$C$11=1,Auxiliar!F24,IF(LEAME!$C$11=2,Auxiliar!G24,Auxiliar!H24))</f>
        <v>0.5</v>
      </c>
      <c r="G18" s="193">
        <v>3</v>
      </c>
      <c r="H18" s="374" t="str">
        <f>IF(LEAME!$C$11=1,Auxiliar!F46,IF(LEAME!$C$11=2,Auxiliar!G46,Auxiliar!H46))</f>
        <v>Procura envolver os utilizadores ao longo de toda a cadeia de valor na identificação das melhorias necessárias na gestão dos recursos naturais, no mercado, na comercialização e na infra-estrutura de transportes. Além de outras fontes de financiamento</v>
      </c>
      <c r="I18" s="375">
        <f>IF(LEAME!$C$11=1,Auxiliar!J44,IF(LEAME!$C$11=2,Auxiliar!K44,Auxiliar!L44))</f>
        <v>0</v>
      </c>
      <c r="J18" s="375">
        <f>IF(LEAME!$C$11=1,Auxiliar!K44,IF(LEAME!$C$11=2,Auxiliar!L44,Auxiliar!M44))</f>
        <v>0</v>
      </c>
      <c r="K18" s="375">
        <f>IF(LEAME!$C$11=1,Auxiliar!L44,IF(LEAME!$C$11=2,Auxiliar!M44,Auxiliar!N44))</f>
        <v>0</v>
      </c>
      <c r="L18" s="375">
        <f>IF(LEAME!$C$11=1,Auxiliar!M44,IF(LEAME!$C$11=2,Auxiliar!N44,Auxiliar!O44))</f>
        <v>0</v>
      </c>
      <c r="M18" s="376">
        <f>IF(LEAME!$C$11=1,Auxiliar!N44,IF(LEAME!$C$11=2,Auxiliar!O44,Auxiliar!P44))</f>
        <v>0</v>
      </c>
    </row>
    <row r="19" spans="2:13" x14ac:dyDescent="0.2">
      <c r="B19" s="186"/>
      <c r="C19" s="32"/>
      <c r="D19" s="31"/>
      <c r="E19" s="31"/>
      <c r="F19" s="31"/>
      <c r="G19" s="32"/>
      <c r="M19" s="109"/>
    </row>
    <row r="20" spans="2:13" ht="48" x14ac:dyDescent="0.2">
      <c r="B20" s="397"/>
      <c r="C20" s="399">
        <v>5</v>
      </c>
      <c r="D20" s="399" t="s">
        <v>155</v>
      </c>
      <c r="E20" s="36" t="s">
        <v>138</v>
      </c>
      <c r="F20" s="60">
        <f>IF(LEAME!$C$11=1,Auxiliar!F28,IF(LEAME!$C$11=2,Auxiliar!G28,Auxiliar!H28))</f>
        <v>0.6</v>
      </c>
      <c r="G20" s="193">
        <v>5</v>
      </c>
      <c r="H20" s="365" t="str">
        <f>IF(LEAME!$C$11=1,Auxiliar!F47,IF(LEAME!$C$11=2,Auxiliar!G47,Auxiliar!H47))</f>
        <v>Procuram-se condições facilitadoras ou planos claros para criar essas condições e a eliminação de obstáculos é essencial para abordagens multissectoriais e intersectoriais destinadas a melhorar o sector agrícola e a segurança alimentar.</v>
      </c>
      <c r="I20" s="366">
        <f>IF(LEAME!$C$11=1,Auxiliar!J48,IF(LEAME!$C$11=2,Auxiliar!K48,Auxiliar!L48))</f>
        <v>0</v>
      </c>
      <c r="J20" s="366">
        <f>IF(LEAME!$C$11=1,Auxiliar!K48,IF(LEAME!$C$11=2,Auxiliar!L48,Auxiliar!M48))</f>
        <v>0</v>
      </c>
      <c r="K20" s="366">
        <f>IF(LEAME!$C$11=1,Auxiliar!L48,IF(LEAME!$C$11=2,Auxiliar!M48,Auxiliar!N48))</f>
        <v>0</v>
      </c>
      <c r="L20" s="366">
        <f>IF(LEAME!$C$11=1,Auxiliar!M48,IF(LEAME!$C$11=2,Auxiliar!N48,Auxiliar!O48))</f>
        <v>0</v>
      </c>
      <c r="M20" s="367">
        <f>IF(LEAME!$C$11=1,Auxiliar!N48,IF(LEAME!$C$11=2,Auxiliar!O48,Auxiliar!P48))</f>
        <v>0</v>
      </c>
    </row>
    <row r="21" spans="2:13" ht="46.25" customHeight="1" x14ac:dyDescent="0.2">
      <c r="B21" s="398"/>
      <c r="C21" s="400"/>
      <c r="D21" s="400"/>
      <c r="E21" s="19" t="s">
        <v>137</v>
      </c>
      <c r="F21" s="21">
        <f>IF(LEAME!$C$11=1,Auxiliar!F29,IF(LEAME!$C$11=2,Auxiliar!G29,Auxiliar!H29))</f>
        <v>0.2</v>
      </c>
      <c r="G21" s="193">
        <v>3</v>
      </c>
      <c r="H21" s="371" t="str">
        <f>IF(LEAME!$C$11=1,Auxiliar!F48,IF(LEAME!$C$11=2,Auxiliar!G48,Auxiliar!H48))</f>
        <v>Ele deve ser considerado nos planos de adaptação e controle ou mitigação de riscos climáticos.</v>
      </c>
      <c r="I21" s="372">
        <f>IF(LEAME!$C$11=1,Auxiliar!J49,IF(LEAME!$C$11=2,Auxiliar!K49,Auxiliar!L49))</f>
        <v>0</v>
      </c>
      <c r="J21" s="372">
        <f>IF(LEAME!$C$11=1,Auxiliar!K49,IF(LEAME!$C$11=2,Auxiliar!L49,Auxiliar!M49))</f>
        <v>0</v>
      </c>
      <c r="K21" s="372">
        <f>IF(LEAME!$C$11=1,Auxiliar!L49,IF(LEAME!$C$11=2,Auxiliar!M49,Auxiliar!N49))</f>
        <v>0</v>
      </c>
      <c r="L21" s="372">
        <f>IF(LEAME!$C$11=1,Auxiliar!M49,IF(LEAME!$C$11=2,Auxiliar!N49,Auxiliar!O49))</f>
        <v>0</v>
      </c>
      <c r="M21" s="373">
        <f>IF(LEAME!$C$11=1,Auxiliar!N49,IF(LEAME!$C$11=2,Auxiliar!O49,Auxiliar!P49))</f>
        <v>0</v>
      </c>
    </row>
    <row r="22" spans="2:13" ht="64" x14ac:dyDescent="0.2">
      <c r="B22" s="398"/>
      <c r="C22" s="400"/>
      <c r="D22" s="400"/>
      <c r="E22" s="35" t="s">
        <v>136</v>
      </c>
      <c r="F22" s="21">
        <f>IF(LEAME!$C$11=1,Auxiliar!F30,IF(LEAME!$C$11=2,Auxiliar!G30,Auxiliar!H30))</f>
        <v>0.2</v>
      </c>
      <c r="G22" s="193">
        <v>4</v>
      </c>
      <c r="H22" s="374" t="str">
        <f>IF(LEAME!$C$11=1,Auxiliar!F49,IF(LEAME!$C$11=2,Auxiliar!G49,Auxiliar!H49))</f>
        <v>É necessário que as principais partes interessadas compreendam e estejam comprometidas com a reorientação da forma como os alimentos são produzidos e consumidos no país. Existência de estruturas de políticas de apoio.</v>
      </c>
      <c r="I22" s="375">
        <f>IF(LEAME!$C$11=1,Auxiliar!J53,IF(LEAME!$C$11=2,Auxiliar!K53,Auxiliar!L53))</f>
        <v>0</v>
      </c>
      <c r="J22" s="375">
        <f>IF(LEAME!$C$11=1,Auxiliar!K53,IF(LEAME!$C$11=2,Auxiliar!L53,Auxiliar!M53))</f>
        <v>0</v>
      </c>
      <c r="K22" s="375">
        <f>IF(LEAME!$C$11=1,Auxiliar!L53,IF(LEAME!$C$11=2,Auxiliar!M53,Auxiliar!N53))</f>
        <v>0</v>
      </c>
      <c r="L22" s="375">
        <f>IF(LEAME!$C$11=1,Auxiliar!M53,IF(LEAME!$C$11=2,Auxiliar!N53,Auxiliar!O53))</f>
        <v>0</v>
      </c>
      <c r="M22" s="376">
        <f>IF(LEAME!$C$11=1,Auxiliar!N53,IF(LEAME!$C$11=2,Auxiliar!O53,Auxiliar!P53))</f>
        <v>0</v>
      </c>
    </row>
    <row r="23" spans="2:13" x14ac:dyDescent="0.2">
      <c r="B23" s="183"/>
      <c r="C23" s="23"/>
      <c r="D23" s="22"/>
      <c r="E23" s="22"/>
      <c r="F23" s="23"/>
      <c r="G23" s="23"/>
      <c r="M23" s="109"/>
    </row>
    <row r="24" spans="2:13" ht="32" x14ac:dyDescent="0.2">
      <c r="B24" s="384"/>
      <c r="C24" s="387">
        <v>6</v>
      </c>
      <c r="D24" s="390" t="s">
        <v>156</v>
      </c>
      <c r="E24" s="25" t="s">
        <v>135</v>
      </c>
      <c r="F24" s="59">
        <f>IF(LEAME!$C$11=1,Auxiliar!F34,IF(LEAME!$C$11=2,Auxiliar!G34,Auxiliar!H34))</f>
        <v>0.15</v>
      </c>
      <c r="G24" s="193">
        <v>0</v>
      </c>
      <c r="H24" s="365" t="str">
        <f>IF(LEAME!$C$11=1,Auxiliar!F50,IF(LEAME!$C$11=2,Auxiliar!G50,Auxiliar!H50))</f>
        <v>O objetivo é demonstrar que as atividades podem ser lucrativas e viáveis e que são baseadas em práticas recomendadas.</v>
      </c>
      <c r="I24" s="366">
        <f>IF(LEAME!$C$11=1,Auxiliar!J54,IF(LEAME!$C$11=2,Auxiliar!K54,Auxiliar!L54))</f>
        <v>0</v>
      </c>
      <c r="J24" s="366">
        <f>IF(LEAME!$C$11=1,Auxiliar!K54,IF(LEAME!$C$11=2,Auxiliar!L54,Auxiliar!M54))</f>
        <v>0</v>
      </c>
      <c r="K24" s="366">
        <f>IF(LEAME!$C$11=1,Auxiliar!L54,IF(LEAME!$C$11=2,Auxiliar!M54,Auxiliar!N54))</f>
        <v>0</v>
      </c>
      <c r="L24" s="366">
        <f>IF(LEAME!$C$11=1,Auxiliar!M54,IF(LEAME!$C$11=2,Auxiliar!N54,Auxiliar!O54))</f>
        <v>0</v>
      </c>
      <c r="M24" s="367">
        <f>IF(LEAME!$C$11=1,Auxiliar!N54,IF(LEAME!$C$11=2,Auxiliar!O54,Auxiliar!P54))</f>
        <v>0</v>
      </c>
    </row>
    <row r="25" spans="2:13" ht="48" x14ac:dyDescent="0.2">
      <c r="B25" s="385"/>
      <c r="C25" s="388"/>
      <c r="D25" s="391"/>
      <c r="E25" s="29" t="s">
        <v>134</v>
      </c>
      <c r="F25" s="63">
        <f>IF(LEAME!$C$11=1,Auxiliar!F35,IF(LEAME!$C$11=2,Auxiliar!G35,Auxiliar!H35))</f>
        <v>0.35</v>
      </c>
      <c r="G25" s="193">
        <v>3</v>
      </c>
      <c r="H25" s="371" t="str">
        <f>IF(LEAME!$C$11=1,Auxiliar!F51,IF(LEAME!$C$11=2,Auxiliar!G51,Auxiliar!H51))</f>
        <v>O objetivo é ter mecanismos de financiamento inovadores e opções de compartilhamento de custos, seja de agricultores locais ou do setor privado, seja de outros doadores ou investidores internacionais.</v>
      </c>
      <c r="I25" s="372">
        <f>IF(LEAME!$C$11=1,Auxiliar!J55,IF(LEAME!$C$11=2,Auxiliar!K55,Auxiliar!L55))</f>
        <v>0</v>
      </c>
      <c r="J25" s="372">
        <f>IF(LEAME!$C$11=1,Auxiliar!K55,IF(LEAME!$C$11=2,Auxiliar!L55,Auxiliar!M55))</f>
        <v>0</v>
      </c>
      <c r="K25" s="372">
        <f>IF(LEAME!$C$11=1,Auxiliar!L55,IF(LEAME!$C$11=2,Auxiliar!M55,Auxiliar!N55))</f>
        <v>0</v>
      </c>
      <c r="L25" s="372">
        <f>IF(LEAME!$C$11=1,Auxiliar!M55,IF(LEAME!$C$11=2,Auxiliar!N55,Auxiliar!O55))</f>
        <v>0</v>
      </c>
      <c r="M25" s="373">
        <f>IF(LEAME!$C$11=1,Auxiliar!N55,IF(LEAME!$C$11=2,Auxiliar!O55,Auxiliar!P55))</f>
        <v>0</v>
      </c>
    </row>
    <row r="26" spans="2:13" ht="48" x14ac:dyDescent="0.2">
      <c r="B26" s="385"/>
      <c r="C26" s="388"/>
      <c r="D26" s="391"/>
      <c r="E26" s="29" t="s">
        <v>133</v>
      </c>
      <c r="F26" s="63">
        <f>IF(LEAME!$C$11=1,Auxiliar!F36,IF(LEAME!$C$11=2,Auxiliar!G36,Auxiliar!H36))</f>
        <v>0.35</v>
      </c>
      <c r="G26" s="193">
        <v>0</v>
      </c>
      <c r="H26" s="371" t="str">
        <f>IF(LEAME!$C$11=1,Auxiliar!F52,IF(LEAME!$C$11=2,Auxiliar!G52,Auxiliar!H52))</f>
        <v>Busca-se uma análise econômica sólida e taxas de retorno financeiro com e sem o projeto, em diferentes cenários climáticos e de risco, para todos os setores.</v>
      </c>
      <c r="I26" s="372">
        <f>IF(LEAME!$C$11=1,Auxiliar!J56,IF(LEAME!$C$11=2,Auxiliar!K56,Auxiliar!L56))</f>
        <v>0</v>
      </c>
      <c r="J26" s="372">
        <f>IF(LEAME!$C$11=1,Auxiliar!K56,IF(LEAME!$C$11=2,Auxiliar!L56,Auxiliar!M56))</f>
        <v>0</v>
      </c>
      <c r="K26" s="372">
        <f>IF(LEAME!$C$11=1,Auxiliar!L56,IF(LEAME!$C$11=2,Auxiliar!M56,Auxiliar!N56))</f>
        <v>0</v>
      </c>
      <c r="L26" s="372">
        <f>IF(LEAME!$C$11=1,Auxiliar!M56,IF(LEAME!$C$11=2,Auxiliar!N56,Auxiliar!O56))</f>
        <v>0</v>
      </c>
      <c r="M26" s="373">
        <f>IF(LEAME!$C$11=1,Auxiliar!N56,IF(LEAME!$C$11=2,Auxiliar!O56,Auxiliar!P56))</f>
        <v>0</v>
      </c>
    </row>
    <row r="27" spans="2:13" ht="32" x14ac:dyDescent="0.2">
      <c r="B27" s="386"/>
      <c r="C27" s="389"/>
      <c r="D27" s="37"/>
      <c r="E27" s="188" t="s">
        <v>132</v>
      </c>
      <c r="F27" s="189">
        <f>IF(LEAME!$C$11=1,Auxiliar!F37,IF(LEAME!$C$11=2,Auxiliar!G37,Auxiliar!H37))</f>
        <v>0.15</v>
      </c>
      <c r="G27" s="194">
        <v>2</v>
      </c>
      <c r="H27" s="392" t="s">
        <v>45</v>
      </c>
      <c r="I27" s="393"/>
      <c r="J27" s="393"/>
      <c r="K27" s="393"/>
      <c r="L27" s="393"/>
      <c r="M27" s="394"/>
    </row>
  </sheetData>
  <mergeCells count="40">
    <mergeCell ref="B2:B3"/>
    <mergeCell ref="C2:C3"/>
    <mergeCell ref="D2:D3"/>
    <mergeCell ref="B11:B14"/>
    <mergeCell ref="C11:C14"/>
    <mergeCell ref="D11:D14"/>
    <mergeCell ref="B4:B5"/>
    <mergeCell ref="C4:C5"/>
    <mergeCell ref="D4:D5"/>
    <mergeCell ref="C20:C22"/>
    <mergeCell ref="D20:D22"/>
    <mergeCell ref="E2:E3"/>
    <mergeCell ref="G2:G3"/>
    <mergeCell ref="D7:D8"/>
    <mergeCell ref="B24:B27"/>
    <mergeCell ref="C24:C27"/>
    <mergeCell ref="D24:D26"/>
    <mergeCell ref="H27:M27"/>
    <mergeCell ref="H17:M17"/>
    <mergeCell ref="H18:M18"/>
    <mergeCell ref="H20:M20"/>
    <mergeCell ref="H21:M21"/>
    <mergeCell ref="H22:M22"/>
    <mergeCell ref="H24:M24"/>
    <mergeCell ref="H25:M25"/>
    <mergeCell ref="H26:M26"/>
    <mergeCell ref="B17:B18"/>
    <mergeCell ref="C17:C18"/>
    <mergeCell ref="D17:D18"/>
    <mergeCell ref="B20:B22"/>
    <mergeCell ref="H4:M4"/>
    <mergeCell ref="H5:M5"/>
    <mergeCell ref="H11:M11"/>
    <mergeCell ref="H12:M12"/>
    <mergeCell ref="H13:M13"/>
    <mergeCell ref="H14:M14"/>
    <mergeCell ref="H7:M7"/>
    <mergeCell ref="H9:M9"/>
    <mergeCell ref="H8:M8"/>
    <mergeCell ref="H15:M15"/>
  </mergeCells>
  <dataValidations disablePrompts="1" count="1">
    <dataValidation type="whole" allowBlank="1" showInputMessage="1" showErrorMessage="1" sqref="G24:G27 G7:G9 G11:G15 G17:G18 G20:G22 G5 G4" xr:uid="{00000000-0002-0000-0100-000000000000}">
      <formula1>0</formula1>
      <formula2>5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"/>
  <sheetViews>
    <sheetView topLeftCell="A2" zoomScale="70" zoomScaleNormal="70" workbookViewId="0">
      <selection activeCell="R10" sqref="R10"/>
    </sheetView>
  </sheetViews>
  <sheetFormatPr baseColWidth="10" defaultRowHeight="15" x14ac:dyDescent="0.2"/>
  <cols>
    <col min="1" max="1" width="6.1640625" style="11" customWidth="1"/>
    <col min="2" max="2" width="20" customWidth="1"/>
    <col min="3" max="4" width="12.6640625" style="3" customWidth="1"/>
    <col min="5" max="5" width="22" customWidth="1"/>
    <col min="6" max="9" width="14.83203125" customWidth="1"/>
    <col min="10" max="10" width="18.6640625" customWidth="1"/>
    <col min="11" max="11" width="14.83203125" customWidth="1"/>
  </cols>
  <sheetData>
    <row r="1" spans="1:13" ht="32" customHeight="1" x14ac:dyDescent="0.2">
      <c r="B1" s="418" t="s">
        <v>195</v>
      </c>
      <c r="C1" s="418"/>
      <c r="D1" s="418"/>
      <c r="E1" s="418"/>
      <c r="F1" s="418"/>
      <c r="G1" s="418"/>
      <c r="H1" s="418"/>
      <c r="I1" s="418"/>
      <c r="J1" s="418"/>
      <c r="K1" s="418"/>
    </row>
    <row r="2" spans="1:13" x14ac:dyDescent="0.2">
      <c r="A2" s="308"/>
      <c r="B2" s="309"/>
      <c r="C2" s="310"/>
      <c r="D2" s="310"/>
    </row>
    <row r="3" spans="1:13" ht="22" customHeight="1" x14ac:dyDescent="0.2">
      <c r="A3" s="311"/>
      <c r="B3" s="312"/>
      <c r="C3" s="313"/>
      <c r="D3" s="321"/>
      <c r="E3" s="324" t="s">
        <v>189</v>
      </c>
      <c r="F3" s="316">
        <v>0</v>
      </c>
      <c r="G3" s="198">
        <f>+F3+1</f>
        <v>1</v>
      </c>
      <c r="H3" s="198" t="s">
        <v>191</v>
      </c>
      <c r="I3" s="198" t="s">
        <v>192</v>
      </c>
      <c r="J3" s="198" t="s">
        <v>193</v>
      </c>
      <c r="K3" s="198" t="s">
        <v>382</v>
      </c>
    </row>
    <row r="4" spans="1:13" ht="51" customHeight="1" x14ac:dyDescent="0.2">
      <c r="A4" s="314"/>
      <c r="B4" s="317"/>
      <c r="C4" s="318"/>
      <c r="D4" s="322"/>
      <c r="E4" s="420" t="str">
        <f>+LEAME!B19</f>
        <v>Programa estratégico agroflorestal para as aldeias das margens do rio Marañon</v>
      </c>
      <c r="F4" s="423" t="s">
        <v>190</v>
      </c>
      <c r="G4" s="422" t="s">
        <v>49</v>
      </c>
      <c r="H4" s="422" t="s">
        <v>43</v>
      </c>
      <c r="I4" s="422" t="s">
        <v>44</v>
      </c>
      <c r="J4" s="422" t="s">
        <v>71</v>
      </c>
      <c r="K4" s="422">
        <v>5</v>
      </c>
    </row>
    <row r="5" spans="1:13" ht="48" x14ac:dyDescent="0.2">
      <c r="B5" s="320" t="s">
        <v>157</v>
      </c>
      <c r="C5" s="319" t="s">
        <v>158</v>
      </c>
      <c r="D5" s="323" t="s">
        <v>159</v>
      </c>
      <c r="E5" s="421"/>
      <c r="F5" s="423"/>
      <c r="G5" s="422"/>
      <c r="H5" s="422"/>
      <c r="I5" s="422"/>
      <c r="J5" s="422"/>
      <c r="K5" s="422"/>
    </row>
    <row r="6" spans="1:13" s="58" customFormat="1" ht="59" customHeight="1" x14ac:dyDescent="0.2">
      <c r="A6" s="307">
        <v>1</v>
      </c>
      <c r="B6" s="315" t="s">
        <v>160</v>
      </c>
      <c r="C6" s="315" t="s">
        <v>30</v>
      </c>
      <c r="D6" s="315"/>
      <c r="E6" s="306">
        <v>1</v>
      </c>
      <c r="F6" s="419" t="s">
        <v>188</v>
      </c>
      <c r="G6" s="419"/>
      <c r="H6" s="424"/>
      <c r="I6" s="424"/>
      <c r="J6" s="424"/>
      <c r="K6" s="424"/>
      <c r="M6" s="58" t="s">
        <v>194</v>
      </c>
    </row>
    <row r="7" spans="1:13" s="58" customFormat="1" ht="59" customHeight="1" x14ac:dyDescent="0.2">
      <c r="A7" s="307">
        <f>+A6+1</f>
        <v>2</v>
      </c>
      <c r="B7" s="57" t="s">
        <v>161</v>
      </c>
      <c r="C7" s="57" t="s">
        <v>30</v>
      </c>
      <c r="D7" s="57"/>
      <c r="E7" s="306">
        <v>1</v>
      </c>
      <c r="F7" s="419" t="s">
        <v>393</v>
      </c>
      <c r="G7" s="419"/>
      <c r="H7" s="419"/>
      <c r="I7" s="419"/>
      <c r="J7" s="419"/>
      <c r="K7" s="419"/>
    </row>
    <row r="8" spans="1:13" s="58" customFormat="1" ht="59" customHeight="1" x14ac:dyDescent="0.2">
      <c r="A8" s="307">
        <f t="shared" ref="A8:A22" si="0">+A7+1</f>
        <v>3</v>
      </c>
      <c r="B8" s="57" t="s">
        <v>162</v>
      </c>
      <c r="C8" s="57" t="s">
        <v>30</v>
      </c>
      <c r="D8" s="57"/>
      <c r="E8" s="306">
        <v>1</v>
      </c>
      <c r="F8" s="419" t="s">
        <v>187</v>
      </c>
      <c r="G8" s="419"/>
      <c r="H8" s="419"/>
      <c r="I8" s="419"/>
      <c r="J8" s="419"/>
      <c r="K8" s="419"/>
      <c r="M8" s="58" t="s">
        <v>192</v>
      </c>
    </row>
    <row r="9" spans="1:13" s="58" customFormat="1" ht="59" customHeight="1" x14ac:dyDescent="0.2">
      <c r="A9" s="307">
        <f t="shared" si="0"/>
        <v>4</v>
      </c>
      <c r="B9" s="57" t="s">
        <v>163</v>
      </c>
      <c r="C9" s="57" t="s">
        <v>30</v>
      </c>
      <c r="D9" s="57"/>
      <c r="E9" s="306">
        <v>1</v>
      </c>
      <c r="F9" s="419" t="s">
        <v>186</v>
      </c>
      <c r="G9" s="419"/>
      <c r="H9" s="419"/>
      <c r="I9" s="419"/>
      <c r="J9" s="419"/>
      <c r="K9" s="419"/>
    </row>
    <row r="10" spans="1:13" s="58" customFormat="1" ht="59" customHeight="1" x14ac:dyDescent="0.2">
      <c r="A10" s="307">
        <f t="shared" si="0"/>
        <v>5</v>
      </c>
      <c r="B10" s="57" t="s">
        <v>164</v>
      </c>
      <c r="C10" s="57" t="s">
        <v>30</v>
      </c>
      <c r="D10" s="57"/>
      <c r="E10" s="306">
        <v>1</v>
      </c>
      <c r="F10" s="419" t="s">
        <v>185</v>
      </c>
      <c r="G10" s="419"/>
      <c r="H10" s="419"/>
      <c r="I10" s="419"/>
      <c r="J10" s="419"/>
      <c r="K10" s="419"/>
    </row>
    <row r="11" spans="1:13" s="58" customFormat="1" ht="59" customHeight="1" x14ac:dyDescent="0.2">
      <c r="A11" s="307">
        <f t="shared" si="0"/>
        <v>6</v>
      </c>
      <c r="B11" s="57" t="s">
        <v>165</v>
      </c>
      <c r="C11" s="57" t="s">
        <v>30</v>
      </c>
      <c r="D11" s="57"/>
      <c r="E11" s="306">
        <v>0</v>
      </c>
      <c r="F11" s="419" t="s">
        <v>184</v>
      </c>
      <c r="G11" s="419"/>
      <c r="H11" s="419"/>
      <c r="I11" s="419"/>
      <c r="J11" s="419"/>
      <c r="K11" s="419"/>
      <c r="M11" s="58" t="s">
        <v>193</v>
      </c>
    </row>
    <row r="12" spans="1:13" s="58" customFormat="1" ht="59" customHeight="1" x14ac:dyDescent="0.2">
      <c r="A12" s="307">
        <f t="shared" si="0"/>
        <v>7</v>
      </c>
      <c r="B12" s="57" t="s">
        <v>166</v>
      </c>
      <c r="C12" s="57" t="s">
        <v>30</v>
      </c>
      <c r="D12" s="57" t="s">
        <v>30</v>
      </c>
      <c r="E12" s="306">
        <v>0</v>
      </c>
      <c r="F12" s="419" t="s">
        <v>183</v>
      </c>
      <c r="G12" s="419"/>
      <c r="H12" s="419"/>
      <c r="I12" s="419"/>
      <c r="J12" s="419"/>
      <c r="K12" s="419"/>
    </row>
    <row r="13" spans="1:13" s="58" customFormat="1" ht="59" customHeight="1" x14ac:dyDescent="0.2">
      <c r="A13" s="307">
        <f t="shared" si="0"/>
        <v>8</v>
      </c>
      <c r="B13" s="57" t="s">
        <v>167</v>
      </c>
      <c r="C13" s="57" t="s">
        <v>30</v>
      </c>
      <c r="D13" s="57"/>
      <c r="E13" s="306">
        <v>0</v>
      </c>
      <c r="F13" s="419" t="s">
        <v>47</v>
      </c>
      <c r="G13" s="419"/>
      <c r="H13" s="419"/>
      <c r="I13" s="419"/>
      <c r="J13" s="419"/>
      <c r="K13" s="419"/>
      <c r="M13" s="58" t="s">
        <v>382</v>
      </c>
    </row>
    <row r="14" spans="1:13" s="58" customFormat="1" ht="59" customHeight="1" x14ac:dyDescent="0.2">
      <c r="A14" s="307">
        <f t="shared" si="0"/>
        <v>9</v>
      </c>
      <c r="B14" s="57" t="s">
        <v>168</v>
      </c>
      <c r="C14" s="57" t="s">
        <v>30</v>
      </c>
      <c r="D14" s="57" t="s">
        <v>30</v>
      </c>
      <c r="E14" s="306">
        <v>0</v>
      </c>
      <c r="F14" s="419" t="s">
        <v>48</v>
      </c>
      <c r="G14" s="419"/>
      <c r="H14" s="419"/>
      <c r="I14" s="419"/>
      <c r="J14" s="419"/>
      <c r="K14" s="419"/>
    </row>
    <row r="15" spans="1:13" s="58" customFormat="1" ht="59" customHeight="1" x14ac:dyDescent="0.2">
      <c r="A15" s="307">
        <f t="shared" si="0"/>
        <v>10</v>
      </c>
      <c r="B15" s="57" t="s">
        <v>169</v>
      </c>
      <c r="C15" s="57" t="s">
        <v>30</v>
      </c>
      <c r="D15" s="57"/>
      <c r="E15" s="306">
        <v>1</v>
      </c>
      <c r="F15" s="419" t="s">
        <v>182</v>
      </c>
      <c r="G15" s="419"/>
      <c r="H15" s="419"/>
      <c r="I15" s="419"/>
      <c r="J15" s="419"/>
      <c r="K15" s="419"/>
    </row>
    <row r="16" spans="1:13" s="58" customFormat="1" ht="59" customHeight="1" x14ac:dyDescent="0.2">
      <c r="A16" s="307">
        <f t="shared" si="0"/>
        <v>11</v>
      </c>
      <c r="B16" s="57" t="s">
        <v>170</v>
      </c>
      <c r="C16" s="57" t="s">
        <v>30</v>
      </c>
      <c r="D16" s="57"/>
      <c r="E16" s="306">
        <v>0</v>
      </c>
      <c r="F16" s="419" t="s">
        <v>181</v>
      </c>
      <c r="G16" s="419"/>
      <c r="H16" s="419"/>
      <c r="I16" s="419"/>
      <c r="J16" s="419"/>
      <c r="K16" s="419"/>
    </row>
    <row r="17" spans="1:11" s="58" customFormat="1" ht="59" customHeight="1" x14ac:dyDescent="0.2">
      <c r="A17" s="307">
        <f t="shared" si="0"/>
        <v>12</v>
      </c>
      <c r="B17" s="57" t="s">
        <v>171</v>
      </c>
      <c r="C17" s="57" t="s">
        <v>30</v>
      </c>
      <c r="D17" s="57"/>
      <c r="E17" s="306">
        <v>0</v>
      </c>
      <c r="F17" s="419" t="s">
        <v>180</v>
      </c>
      <c r="G17" s="419"/>
      <c r="H17" s="419"/>
      <c r="I17" s="419"/>
      <c r="J17" s="419"/>
      <c r="K17" s="419"/>
    </row>
    <row r="18" spans="1:11" s="58" customFormat="1" ht="59" customHeight="1" x14ac:dyDescent="0.2">
      <c r="A18" s="307">
        <f t="shared" si="0"/>
        <v>13</v>
      </c>
      <c r="B18" s="57" t="s">
        <v>172</v>
      </c>
      <c r="C18" s="57" t="s">
        <v>30</v>
      </c>
      <c r="D18" s="57" t="s">
        <v>30</v>
      </c>
      <c r="E18" s="306">
        <v>1</v>
      </c>
      <c r="F18" s="419" t="s">
        <v>390</v>
      </c>
      <c r="G18" s="419"/>
      <c r="H18" s="419"/>
      <c r="I18" s="419"/>
      <c r="J18" s="419"/>
      <c r="K18" s="419"/>
    </row>
    <row r="19" spans="1:11" s="58" customFormat="1" ht="59" customHeight="1" x14ac:dyDescent="0.2">
      <c r="A19" s="307">
        <f t="shared" si="0"/>
        <v>14</v>
      </c>
      <c r="B19" s="57" t="s">
        <v>173</v>
      </c>
      <c r="C19" s="57" t="s">
        <v>30</v>
      </c>
      <c r="D19" s="57"/>
      <c r="E19" s="306">
        <v>0</v>
      </c>
      <c r="F19" s="419" t="s">
        <v>179</v>
      </c>
      <c r="G19" s="419"/>
      <c r="H19" s="419"/>
      <c r="I19" s="419"/>
      <c r="J19" s="419"/>
      <c r="K19" s="419"/>
    </row>
    <row r="20" spans="1:11" s="58" customFormat="1" ht="59" customHeight="1" x14ac:dyDescent="0.2">
      <c r="A20" s="307">
        <f t="shared" si="0"/>
        <v>15</v>
      </c>
      <c r="B20" s="57" t="s">
        <v>174</v>
      </c>
      <c r="C20" s="57"/>
      <c r="D20" s="57" t="s">
        <v>30</v>
      </c>
      <c r="E20" s="306">
        <v>1</v>
      </c>
      <c r="F20" s="419" t="s">
        <v>391</v>
      </c>
      <c r="G20" s="419"/>
      <c r="H20" s="419"/>
      <c r="I20" s="419"/>
      <c r="J20" s="419"/>
      <c r="K20" s="419"/>
    </row>
    <row r="21" spans="1:11" s="58" customFormat="1" ht="59" customHeight="1" x14ac:dyDescent="0.2">
      <c r="A21" s="307">
        <f t="shared" si="0"/>
        <v>16</v>
      </c>
      <c r="B21" s="57" t="s">
        <v>175</v>
      </c>
      <c r="C21" s="57" t="s">
        <v>30</v>
      </c>
      <c r="D21" s="57"/>
      <c r="E21" s="306">
        <v>1</v>
      </c>
      <c r="F21" s="419" t="s">
        <v>178</v>
      </c>
      <c r="G21" s="419"/>
      <c r="H21" s="419"/>
      <c r="I21" s="419"/>
      <c r="J21" s="419"/>
      <c r="K21" s="419"/>
    </row>
    <row r="22" spans="1:11" s="58" customFormat="1" ht="59" customHeight="1" x14ac:dyDescent="0.2">
      <c r="A22" s="307">
        <f t="shared" si="0"/>
        <v>17</v>
      </c>
      <c r="B22" s="57" t="s">
        <v>176</v>
      </c>
      <c r="C22" s="57" t="s">
        <v>30</v>
      </c>
      <c r="D22" s="57"/>
      <c r="E22" s="306">
        <v>0</v>
      </c>
      <c r="F22" s="419" t="s">
        <v>177</v>
      </c>
      <c r="G22" s="419"/>
      <c r="H22" s="419"/>
      <c r="I22" s="419"/>
      <c r="J22" s="419"/>
      <c r="K22" s="419"/>
    </row>
  </sheetData>
  <mergeCells count="25">
    <mergeCell ref="F22:K22"/>
    <mergeCell ref="F14:K14"/>
    <mergeCell ref="F15:K15"/>
    <mergeCell ref="F16:K16"/>
    <mergeCell ref="F4:F5"/>
    <mergeCell ref="K4:K5"/>
    <mergeCell ref="F6:K6"/>
    <mergeCell ref="F7:K7"/>
    <mergeCell ref="F8:K8"/>
    <mergeCell ref="F13:K13"/>
    <mergeCell ref="F17:K17"/>
    <mergeCell ref="F18:K18"/>
    <mergeCell ref="F19:K19"/>
    <mergeCell ref="F20:K20"/>
    <mergeCell ref="F21:K21"/>
    <mergeCell ref="B1:K1"/>
    <mergeCell ref="F9:K9"/>
    <mergeCell ref="F10:K10"/>
    <mergeCell ref="F11:K11"/>
    <mergeCell ref="F12:K12"/>
    <mergeCell ref="E4:E5"/>
    <mergeCell ref="G4:G5"/>
    <mergeCell ref="H4:H5"/>
    <mergeCell ref="I4:I5"/>
    <mergeCell ref="J4:J5"/>
  </mergeCells>
  <dataValidations disablePrompts="1" count="1">
    <dataValidation type="whole" allowBlank="1" showInputMessage="1" showErrorMessage="1" sqref="E6:E22" xr:uid="{00000000-0002-0000-0200-000000000000}">
      <formula1>0</formula1>
      <formula2>1</formula2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1"/>
  <sheetViews>
    <sheetView topLeftCell="A21" workbookViewId="0">
      <selection activeCell="G2" sqref="G2:G3"/>
    </sheetView>
  </sheetViews>
  <sheetFormatPr baseColWidth="10" defaultRowHeight="15" x14ac:dyDescent="0.2"/>
  <cols>
    <col min="1" max="1" width="3.33203125" customWidth="1"/>
    <col min="2" max="2" width="21.6640625" customWidth="1"/>
    <col min="3" max="3" width="11.33203125" style="3"/>
    <col min="4" max="4" width="23.33203125" customWidth="1"/>
    <col min="5" max="5" width="33.83203125" customWidth="1"/>
    <col min="6" max="6" width="25.6640625" customWidth="1"/>
    <col min="7" max="7" width="33.1640625" customWidth="1"/>
  </cols>
  <sheetData>
    <row r="1" spans="2:7" ht="37" customHeight="1" x14ac:dyDescent="0.2">
      <c r="G1" s="202" t="s">
        <v>189</v>
      </c>
    </row>
    <row r="2" spans="2:7" ht="16" thickBot="1" x14ac:dyDescent="0.25">
      <c r="B2" s="430" t="s">
        <v>110</v>
      </c>
      <c r="C2" s="409" t="s">
        <v>196</v>
      </c>
      <c r="D2" s="409" t="s">
        <v>112</v>
      </c>
      <c r="E2" s="425" t="s">
        <v>113</v>
      </c>
      <c r="F2" s="190" t="s">
        <v>114</v>
      </c>
      <c r="G2" s="427" t="str">
        <f>+LEAME!B19</f>
        <v>Programa estratégico agroflorestal para as aldeias das margens do rio Marañon</v>
      </c>
    </row>
    <row r="3" spans="2:7" ht="49" thickBot="1" x14ac:dyDescent="0.25">
      <c r="B3" s="431"/>
      <c r="C3" s="410"/>
      <c r="D3" s="410"/>
      <c r="E3" s="426"/>
      <c r="F3" s="191" t="s">
        <v>115</v>
      </c>
      <c r="G3" s="428"/>
    </row>
    <row r="4" spans="2:7" x14ac:dyDescent="0.2">
      <c r="B4" s="415"/>
      <c r="C4" s="416">
        <v>1</v>
      </c>
      <c r="D4" s="417" t="s">
        <v>150</v>
      </c>
      <c r="E4" s="17" t="s">
        <v>148</v>
      </c>
      <c r="F4" s="18">
        <f>IF(LEAME!$C$11=1,Auxiliar!F4,IF(LEAME!$C$11=2,Auxiliar!G4,Auxiliar!H4))</f>
        <v>0.5</v>
      </c>
      <c r="G4" s="203">
        <f>+'Datos Entrada'!G4</f>
        <v>0</v>
      </c>
    </row>
    <row r="5" spans="2:7" ht="16" thickBot="1" x14ac:dyDescent="0.25">
      <c r="B5" s="434"/>
      <c r="C5" s="433"/>
      <c r="D5" s="429"/>
      <c r="E5" s="82" t="s">
        <v>149</v>
      </c>
      <c r="F5" s="85">
        <f>IF(LEAME!$C$11=1,Auxiliar!F5,IF(LEAME!$C$11=2,Auxiliar!G5,Auxiliar!H5))</f>
        <v>0.5</v>
      </c>
      <c r="G5" s="204">
        <f>+'Datos Entrada'!G5</f>
        <v>2</v>
      </c>
    </row>
    <row r="6" spans="2:7" x14ac:dyDescent="0.2">
      <c r="B6" s="205" t="s">
        <v>197</v>
      </c>
      <c r="C6" s="81"/>
      <c r="D6" s="80"/>
      <c r="E6" s="80"/>
      <c r="F6" s="80"/>
      <c r="G6" s="206">
        <f>SUMPRODUCT($F$4:$F$5,G4:G5)</f>
        <v>1</v>
      </c>
    </row>
    <row r="7" spans="2:7" x14ac:dyDescent="0.2">
      <c r="B7" s="207" t="s">
        <v>198</v>
      </c>
      <c r="C7" s="71"/>
      <c r="D7" s="70"/>
      <c r="E7" s="70"/>
      <c r="F7" s="72">
        <f>IF(LEAME!$C$11=1,Auxiliar!F7,IF(LEAME!$C$11=2,Auxiliar!G7,Auxiliar!H7))</f>
        <v>0.2</v>
      </c>
      <c r="G7" s="208"/>
    </row>
    <row r="8" spans="2:7" x14ac:dyDescent="0.2">
      <c r="B8" s="209" t="s">
        <v>199</v>
      </c>
      <c r="C8" s="77"/>
      <c r="D8" s="76"/>
      <c r="E8" s="76"/>
      <c r="F8" s="76"/>
      <c r="G8" s="210">
        <f>$F$7*G6</f>
        <v>0.2</v>
      </c>
    </row>
    <row r="9" spans="2:7" ht="32" x14ac:dyDescent="0.2">
      <c r="B9" s="184"/>
      <c r="C9" s="24">
        <v>2</v>
      </c>
      <c r="D9" s="405" t="s">
        <v>204</v>
      </c>
      <c r="E9" s="29" t="s">
        <v>147</v>
      </c>
      <c r="F9" s="26">
        <f>IF(LEAME!$C$11=1,Auxiliar!F9,IF(LEAME!$C$11=2,Auxiliar!G9,Auxiliar!H9))</f>
        <v>0.2</v>
      </c>
      <c r="G9" s="211">
        <f>+'Datos Entrada'!G7</f>
        <v>0</v>
      </c>
    </row>
    <row r="10" spans="2:7" ht="32" x14ac:dyDescent="0.2">
      <c r="B10" s="185"/>
      <c r="C10" s="28"/>
      <c r="D10" s="406"/>
      <c r="E10" s="29" t="s">
        <v>146</v>
      </c>
      <c r="F10" s="30">
        <f>IF(LEAME!$C$11=1,Auxiliar!F10,IF(LEAME!$C$11=2,Auxiliar!G10,Auxiliar!H10))</f>
        <v>0.4</v>
      </c>
      <c r="G10" s="211">
        <f>+'Datos Entrada'!G8</f>
        <v>3</v>
      </c>
    </row>
    <row r="11" spans="2:7" ht="16" thickBot="1" x14ac:dyDescent="0.25">
      <c r="B11" s="212"/>
      <c r="C11" s="89"/>
      <c r="D11" s="88"/>
      <c r="E11" s="88" t="s">
        <v>145</v>
      </c>
      <c r="F11" s="90">
        <f>IF(LEAME!$C$11=1,Auxiliar!F11,IF(LEAME!$C$11=2,Auxiliar!G11,Auxiliar!H11))</f>
        <v>0.4</v>
      </c>
      <c r="G11" s="213">
        <f>+'Datos Entrada'!G9</f>
        <v>5</v>
      </c>
    </row>
    <row r="12" spans="2:7" x14ac:dyDescent="0.2">
      <c r="B12" s="214" t="s">
        <v>197</v>
      </c>
      <c r="C12" s="87"/>
      <c r="D12" s="86"/>
      <c r="E12" s="86"/>
      <c r="F12" s="87"/>
      <c r="G12" s="215">
        <f>SUMPRODUCT($F$9:$F$11,G9:G11)</f>
        <v>3.2</v>
      </c>
    </row>
    <row r="13" spans="2:7" x14ac:dyDescent="0.2">
      <c r="B13" s="216" t="s">
        <v>198</v>
      </c>
      <c r="C13" s="74"/>
      <c r="D13" s="73"/>
      <c r="E13" s="73"/>
      <c r="F13" s="75">
        <f>IF(LEAME!$C$11=1,Auxiliar!F13,IF(LEAME!$C$11=2,Auxiliar!G13,Auxiliar!H13))</f>
        <v>0.2</v>
      </c>
      <c r="G13" s="217"/>
    </row>
    <row r="14" spans="2:7" x14ac:dyDescent="0.2">
      <c r="B14" s="218" t="s">
        <v>199</v>
      </c>
      <c r="C14" s="79"/>
      <c r="D14" s="78"/>
      <c r="E14" s="78"/>
      <c r="F14" s="79"/>
      <c r="G14" s="219">
        <f>$F$13*G12</f>
        <v>0.64000000000000012</v>
      </c>
    </row>
    <row r="15" spans="2:7" ht="30" customHeight="1" x14ac:dyDescent="0.2">
      <c r="B15" s="411"/>
      <c r="C15" s="412">
        <v>3</v>
      </c>
      <c r="D15" s="413" t="s">
        <v>152</v>
      </c>
      <c r="E15" s="33" t="s">
        <v>144</v>
      </c>
      <c r="F15" s="34">
        <f>IF(LEAME!$C$11=1,Auxiliar!F15,IF(LEAME!$C$11=2,Auxiliar!G15,Auxiliar!H15))</f>
        <v>0.1</v>
      </c>
      <c r="G15" s="220">
        <f>+'Datos Entrada'!G11</f>
        <v>0</v>
      </c>
    </row>
    <row r="16" spans="2:7" x14ac:dyDescent="0.2">
      <c r="B16" s="411"/>
      <c r="C16" s="412"/>
      <c r="D16" s="414"/>
      <c r="E16" s="19" t="s">
        <v>205</v>
      </c>
      <c r="F16" s="21">
        <f>IF(LEAME!$C$11=1,Auxiliar!F16,IF(LEAME!$C$11=2,Auxiliar!G16,Auxiliar!H16))</f>
        <v>0.25</v>
      </c>
      <c r="G16" s="220">
        <f>+'Datos Entrada'!G12</f>
        <v>0</v>
      </c>
    </row>
    <row r="17" spans="2:7" x14ac:dyDescent="0.2">
      <c r="B17" s="411"/>
      <c r="C17" s="412"/>
      <c r="D17" s="414"/>
      <c r="E17" s="19" t="s">
        <v>206</v>
      </c>
      <c r="F17" s="21">
        <f>IF(LEAME!$C$11=1,Auxiliar!F17,IF(LEAME!$C$11=2,Auxiliar!G17,Auxiliar!H17))</f>
        <v>0.1</v>
      </c>
      <c r="G17" s="220">
        <f>+'Datos Entrada'!G13</f>
        <v>5</v>
      </c>
    </row>
    <row r="18" spans="2:7" x14ac:dyDescent="0.2">
      <c r="B18" s="397"/>
      <c r="C18" s="399"/>
      <c r="D18" s="414"/>
      <c r="E18" s="19" t="s">
        <v>207</v>
      </c>
      <c r="F18" s="21">
        <f>IF(LEAME!$C$11=1,Auxiliar!F18,IF(LEAME!$C$11=2,Auxiliar!G18,Auxiliar!H18))</f>
        <v>0.25</v>
      </c>
      <c r="G18" s="220">
        <f>+'Datos Entrada'!G14</f>
        <v>5</v>
      </c>
    </row>
    <row r="19" spans="2:7" ht="49" thickBot="1" x14ac:dyDescent="0.25">
      <c r="B19" s="221"/>
      <c r="C19" s="83"/>
      <c r="D19" s="82" t="s">
        <v>153</v>
      </c>
      <c r="E19" s="84" t="s">
        <v>140</v>
      </c>
      <c r="F19" s="85">
        <f>IF(LEAME!$C$11=1,Auxiliar!F19,IF(LEAME!$C$11=2,Auxiliar!G19,Auxiliar!H19))</f>
        <v>0.3</v>
      </c>
      <c r="G19" s="204">
        <f>+'Datos Entrada'!G15</f>
        <v>4</v>
      </c>
    </row>
    <row r="20" spans="2:7" x14ac:dyDescent="0.2">
      <c r="B20" s="205" t="s">
        <v>197</v>
      </c>
      <c r="C20" s="81"/>
      <c r="D20" s="80"/>
      <c r="E20" s="80"/>
      <c r="F20" s="80"/>
      <c r="G20" s="206">
        <f>SUMPRODUCT($F$15:$F$19,G15:G19)</f>
        <v>2.95</v>
      </c>
    </row>
    <row r="21" spans="2:7" x14ac:dyDescent="0.2">
      <c r="B21" s="207" t="s">
        <v>198</v>
      </c>
      <c r="C21" s="71"/>
      <c r="D21" s="70"/>
      <c r="E21" s="70"/>
      <c r="F21" s="72">
        <f>IF(LEAME!$C$11=1,Auxiliar!F21,IF(LEAME!$C$11=2,Auxiliar!G21,Auxiliar!H21))</f>
        <v>0.2</v>
      </c>
      <c r="G21" s="208"/>
    </row>
    <row r="22" spans="2:7" x14ac:dyDescent="0.2">
      <c r="B22" s="209" t="s">
        <v>199</v>
      </c>
      <c r="C22" s="77"/>
      <c r="D22" s="76"/>
      <c r="E22" s="76"/>
      <c r="F22" s="76"/>
      <c r="G22" s="210">
        <f>$F$21*G20</f>
        <v>0.59000000000000008</v>
      </c>
    </row>
    <row r="23" spans="2:7" ht="32" x14ac:dyDescent="0.2">
      <c r="B23" s="384"/>
      <c r="C23" s="387">
        <v>4</v>
      </c>
      <c r="D23" s="396" t="s">
        <v>154</v>
      </c>
      <c r="E23" s="59" t="str">
        <f>IF(LEAME!$C$11=1,Auxiliar!F43,IF(LEAME!$C$11=2,Auxiliar!G43,Auxiliar!H43))</f>
        <v>Apoiam o desenvolvimento para responder aos efeitos e riscos climáticos</v>
      </c>
      <c r="F23" s="26">
        <f>IF(LEAME!$C$11=1,Auxiliar!F23,IF(LEAME!$C$11=2,Auxiliar!G23,Auxiliar!H23))</f>
        <v>0.5</v>
      </c>
      <c r="G23" s="211">
        <f>+'Datos Entrada'!G17</f>
        <v>5</v>
      </c>
    </row>
    <row r="24" spans="2:7" ht="33" thickBot="1" x14ac:dyDescent="0.25">
      <c r="B24" s="432"/>
      <c r="C24" s="435"/>
      <c r="D24" s="438"/>
      <c r="E24" s="91" t="str">
        <f>IF(LEAME!$C$11=1,Auxiliar!F44,IF(LEAME!$C$11=2,Auxiliar!G44,Auxiliar!H44))</f>
        <v>Há interesse em fontes alternativas de financiamento</v>
      </c>
      <c r="F24" s="90">
        <f>IF(LEAME!$C$11=1,Auxiliar!F24,IF(LEAME!$C$11=2,Auxiliar!G24,Auxiliar!H24))</f>
        <v>0.5</v>
      </c>
      <c r="G24" s="213">
        <f>+'Datos Entrada'!G18</f>
        <v>3</v>
      </c>
    </row>
    <row r="25" spans="2:7" x14ac:dyDescent="0.2">
      <c r="B25" s="214" t="s">
        <v>197</v>
      </c>
      <c r="C25" s="87"/>
      <c r="D25" s="86"/>
      <c r="E25" s="92"/>
      <c r="F25" s="93"/>
      <c r="G25" s="215">
        <f>SUMPRODUCT($F$23:$F$24,G23:G24)</f>
        <v>4</v>
      </c>
    </row>
    <row r="26" spans="2:7" x14ac:dyDescent="0.2">
      <c r="B26" s="216" t="s">
        <v>198</v>
      </c>
      <c r="C26" s="74"/>
      <c r="D26" s="73"/>
      <c r="E26" s="73"/>
      <c r="F26" s="75">
        <f>IF(LEAME!$C$11=1,Auxiliar!F26,IF(LEAME!$C$11=2,Auxiliar!G26,Auxiliar!H26))</f>
        <v>0.1</v>
      </c>
      <c r="G26" s="217"/>
    </row>
    <row r="27" spans="2:7" x14ac:dyDescent="0.2">
      <c r="B27" s="218" t="s">
        <v>199</v>
      </c>
      <c r="C27" s="79"/>
      <c r="D27" s="78"/>
      <c r="E27" s="78"/>
      <c r="F27" s="78"/>
      <c r="G27" s="219">
        <f>$F$26*G25</f>
        <v>0.4</v>
      </c>
    </row>
    <row r="28" spans="2:7" ht="32" x14ac:dyDescent="0.2">
      <c r="B28" s="397"/>
      <c r="C28" s="399">
        <v>5</v>
      </c>
      <c r="D28" s="399" t="s">
        <v>203</v>
      </c>
      <c r="E28" s="36" t="s">
        <v>138</v>
      </c>
      <c r="F28" s="34">
        <f>IF(LEAME!$C$11=1,Auxiliar!F28,IF(LEAME!$C$11=2,Auxiliar!G28,Auxiliar!H28))</f>
        <v>0.6</v>
      </c>
      <c r="G28" s="220">
        <f>+'Datos Entrada'!G20</f>
        <v>5</v>
      </c>
    </row>
    <row r="29" spans="2:7" x14ac:dyDescent="0.2">
      <c r="B29" s="398"/>
      <c r="C29" s="400"/>
      <c r="D29" s="400"/>
      <c r="E29" s="19" t="s">
        <v>137</v>
      </c>
      <c r="F29" s="21">
        <f>IF(LEAME!$C$11=1,Auxiliar!F29,IF(LEAME!$C$11=2,Auxiliar!G29,Auxiliar!H29))</f>
        <v>0.2</v>
      </c>
      <c r="G29" s="220">
        <f>+'Datos Entrada'!G21</f>
        <v>3</v>
      </c>
    </row>
    <row r="30" spans="2:7" ht="49" thickBot="1" x14ac:dyDescent="0.25">
      <c r="B30" s="437"/>
      <c r="C30" s="436"/>
      <c r="D30" s="436"/>
      <c r="E30" s="84" t="s">
        <v>136</v>
      </c>
      <c r="F30" s="85">
        <f>IF(LEAME!$C$11=1,Auxiliar!F30,IF(LEAME!$C$11=2,Auxiliar!G30,Auxiliar!H30))</f>
        <v>0.2</v>
      </c>
      <c r="G30" s="222">
        <f>+'Datos Entrada'!G22</f>
        <v>4</v>
      </c>
    </row>
    <row r="31" spans="2:7" x14ac:dyDescent="0.2">
      <c r="B31" s="205" t="s">
        <v>197</v>
      </c>
      <c r="C31" s="81"/>
      <c r="D31" s="80"/>
      <c r="E31" s="80"/>
      <c r="F31" s="81"/>
      <c r="G31" s="206">
        <f>SUMPRODUCT($F$28:$F$30,G28:G30)</f>
        <v>4.4000000000000004</v>
      </c>
    </row>
    <row r="32" spans="2:7" x14ac:dyDescent="0.2">
      <c r="B32" s="207" t="s">
        <v>198</v>
      </c>
      <c r="C32" s="71"/>
      <c r="D32" s="70"/>
      <c r="E32" s="70"/>
      <c r="F32" s="72">
        <f>IF(LEAME!$C$11=1,Auxiliar!F32,IF(LEAME!$C$11=2,Auxiliar!G32,Auxiliar!H32))</f>
        <v>0.2</v>
      </c>
      <c r="G32" s="208"/>
    </row>
    <row r="33" spans="2:7" x14ac:dyDescent="0.2">
      <c r="B33" s="209" t="s">
        <v>199</v>
      </c>
      <c r="C33" s="77"/>
      <c r="D33" s="76"/>
      <c r="E33" s="76"/>
      <c r="F33" s="77"/>
      <c r="G33" s="210">
        <f>$F$32*G31</f>
        <v>0.88000000000000012</v>
      </c>
    </row>
    <row r="34" spans="2:7" ht="16" x14ac:dyDescent="0.2">
      <c r="B34" s="384"/>
      <c r="C34" s="387">
        <v>6</v>
      </c>
      <c r="D34" s="387" t="s">
        <v>202</v>
      </c>
      <c r="E34" s="25" t="s">
        <v>135</v>
      </c>
      <c r="F34" s="26">
        <f>IF(LEAME!$C$11=1,Auxiliar!F34,IF(LEAME!$C$11=2,Auxiliar!G34,Auxiliar!H34))</f>
        <v>0.15</v>
      </c>
      <c r="G34" s="211">
        <f>+'Datos Entrada'!G24</f>
        <v>0</v>
      </c>
    </row>
    <row r="35" spans="2:7" ht="32" x14ac:dyDescent="0.2">
      <c r="B35" s="385"/>
      <c r="C35" s="388"/>
      <c r="D35" s="388"/>
      <c r="E35" s="29" t="s">
        <v>134</v>
      </c>
      <c r="F35" s="30">
        <f>IF(LEAME!$C$11=1,Auxiliar!F35,IF(LEAME!$C$11=2,Auxiliar!G35,Auxiliar!H35))</f>
        <v>0.35</v>
      </c>
      <c r="G35" s="211">
        <f>+'Datos Entrada'!G25</f>
        <v>3</v>
      </c>
    </row>
    <row r="36" spans="2:7" ht="32" x14ac:dyDescent="0.2">
      <c r="B36" s="385"/>
      <c r="C36" s="388"/>
      <c r="D36" s="388"/>
      <c r="E36" s="29" t="s">
        <v>133</v>
      </c>
      <c r="F36" s="30">
        <f>IF(LEAME!$C$11=1,Auxiliar!F36,IF(LEAME!$C$11=2,Auxiliar!G36,Auxiliar!H36))</f>
        <v>0.35</v>
      </c>
      <c r="G36" s="211">
        <f>+'Datos Entrada'!G26</f>
        <v>0</v>
      </c>
    </row>
    <row r="37" spans="2:7" ht="17" thickBot="1" x14ac:dyDescent="0.25">
      <c r="B37" s="432"/>
      <c r="C37" s="435"/>
      <c r="D37" s="88"/>
      <c r="E37" s="94" t="s">
        <v>132</v>
      </c>
      <c r="F37" s="90">
        <f>IF(LEAME!$C$11=1,Auxiliar!F37,IF(LEAME!$C$11=2,Auxiliar!G37,Auxiliar!H37))</f>
        <v>0.15</v>
      </c>
      <c r="G37" s="223">
        <f>+'Datos Entrada'!G27</f>
        <v>2</v>
      </c>
    </row>
    <row r="38" spans="2:7" x14ac:dyDescent="0.2">
      <c r="B38" s="214" t="s">
        <v>197</v>
      </c>
      <c r="C38" s="87"/>
      <c r="D38" s="86"/>
      <c r="E38" s="86"/>
      <c r="F38" s="86"/>
      <c r="G38" s="215">
        <f>SUMPRODUCT($F$34:$F$37,G34:G37)</f>
        <v>1.3499999999999999</v>
      </c>
    </row>
    <row r="39" spans="2:7" x14ac:dyDescent="0.2">
      <c r="B39" s="216" t="s">
        <v>198</v>
      </c>
      <c r="C39" s="74"/>
      <c r="D39" s="73"/>
      <c r="E39" s="73"/>
      <c r="F39" s="75">
        <f>IF(LEAME!$C$11=1,Auxiliar!F39,IF(LEAME!$C$11=2,Auxiliar!G39,Auxiliar!H39))</f>
        <v>0.10000000000000009</v>
      </c>
      <c r="G39" s="217"/>
    </row>
    <row r="40" spans="2:7" x14ac:dyDescent="0.2">
      <c r="B40" s="218" t="s">
        <v>199</v>
      </c>
      <c r="C40" s="96"/>
      <c r="D40" s="95"/>
      <c r="E40" s="95"/>
      <c r="F40" s="95"/>
      <c r="G40" s="224">
        <f>$F$39*G38</f>
        <v>0.13500000000000012</v>
      </c>
    </row>
    <row r="41" spans="2:7" ht="34" customHeight="1" x14ac:dyDescent="0.2">
      <c r="B41" s="226"/>
      <c r="C41" s="200"/>
      <c r="D41" s="200" t="s">
        <v>200</v>
      </c>
      <c r="E41" s="200"/>
      <c r="F41" s="200" t="s">
        <v>201</v>
      </c>
      <c r="G41" s="227">
        <f>+G8+G14+G22+G27+G33+G40</f>
        <v>2.8450000000000002</v>
      </c>
    </row>
  </sheetData>
  <mergeCells count="21">
    <mergeCell ref="C28:C30"/>
    <mergeCell ref="B28:B30"/>
    <mergeCell ref="C34:C37"/>
    <mergeCell ref="B34:B37"/>
    <mergeCell ref="D23:D24"/>
    <mergeCell ref="D28:D30"/>
    <mergeCell ref="D34:D36"/>
    <mergeCell ref="B2:B3"/>
    <mergeCell ref="B23:B24"/>
    <mergeCell ref="B15:B18"/>
    <mergeCell ref="C15:C18"/>
    <mergeCell ref="C4:C5"/>
    <mergeCell ref="B4:B5"/>
    <mergeCell ref="C23:C24"/>
    <mergeCell ref="D15:D18"/>
    <mergeCell ref="E2:E3"/>
    <mergeCell ref="C2:C3"/>
    <mergeCell ref="D2:D3"/>
    <mergeCell ref="G2:G3"/>
    <mergeCell ref="D9:D10"/>
    <mergeCell ref="D4:D5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workbookViewId="0"/>
  </sheetViews>
  <sheetFormatPr baseColWidth="10" defaultRowHeight="15" x14ac:dyDescent="0.2"/>
  <cols>
    <col min="1" max="1" width="11.33203125" style="11"/>
    <col min="2" max="2" width="43.33203125" customWidth="1"/>
    <col min="3" max="4" width="12.6640625" style="3" customWidth="1"/>
    <col min="5" max="5" width="18.33203125" customWidth="1"/>
  </cols>
  <sheetData>
    <row r="1" spans="1:5" ht="19" x14ac:dyDescent="0.25">
      <c r="B1" s="68" t="s">
        <v>39</v>
      </c>
      <c r="C1" s="68"/>
      <c r="D1" s="68"/>
      <c r="E1" s="68"/>
    </row>
    <row r="3" spans="1:5" x14ac:dyDescent="0.2">
      <c r="E3" s="5" t="s">
        <v>1</v>
      </c>
    </row>
    <row r="4" spans="1:5" ht="52.25" customHeight="1" thickBot="1" x14ac:dyDescent="0.25">
      <c r="E4" s="9" t="str">
        <f>+LEAME!B19</f>
        <v>Programa estratégico agroflorestal para as aldeias das margens do rio Marañon</v>
      </c>
    </row>
    <row r="5" spans="1:5" ht="17" thickBot="1" x14ac:dyDescent="0.25">
      <c r="B5" s="51" t="s">
        <v>0</v>
      </c>
      <c r="C5" s="52" t="s">
        <v>29</v>
      </c>
      <c r="D5" s="52" t="s">
        <v>3</v>
      </c>
      <c r="E5" s="53" t="s">
        <v>51</v>
      </c>
    </row>
    <row r="6" spans="1:5" ht="16" x14ac:dyDescent="0.2">
      <c r="A6" s="11">
        <v>1</v>
      </c>
      <c r="B6" s="50" t="s">
        <v>15</v>
      </c>
      <c r="C6" s="4" t="s">
        <v>30</v>
      </c>
      <c r="D6" s="4"/>
      <c r="E6" s="4">
        <f>IF('ODS Analisis'!E6&gt;0,1,0)</f>
        <v>1</v>
      </c>
    </row>
    <row r="7" spans="1:5" ht="16" x14ac:dyDescent="0.2">
      <c r="A7" s="11">
        <f>+A6+1</f>
        <v>2</v>
      </c>
      <c r="B7" s="50" t="s">
        <v>16</v>
      </c>
      <c r="C7" s="4" t="s">
        <v>30</v>
      </c>
      <c r="D7" s="4"/>
      <c r="E7" s="4">
        <f>IF('ODS Analisis'!E7&gt;0,1,0)</f>
        <v>1</v>
      </c>
    </row>
    <row r="8" spans="1:5" ht="16" x14ac:dyDescent="0.2">
      <c r="A8" s="11">
        <f t="shared" ref="A8:A22" si="0">+A7+1</f>
        <v>3</v>
      </c>
      <c r="B8" s="50" t="s">
        <v>14</v>
      </c>
      <c r="C8" s="4" t="s">
        <v>30</v>
      </c>
      <c r="D8" s="4"/>
      <c r="E8" s="4">
        <f>IF('ODS Analisis'!E8&gt;0,1,0)</f>
        <v>1</v>
      </c>
    </row>
    <row r="9" spans="1:5" ht="16" x14ac:dyDescent="0.2">
      <c r="A9" s="11">
        <f t="shared" si="0"/>
        <v>4</v>
      </c>
      <c r="B9" s="50" t="s">
        <v>42</v>
      </c>
      <c r="C9" s="4" t="s">
        <v>30</v>
      </c>
      <c r="D9" s="4"/>
      <c r="E9" s="4">
        <f>IF('ODS Analisis'!E9&gt;0,1,0)</f>
        <v>1</v>
      </c>
    </row>
    <row r="10" spans="1:5" ht="16" x14ac:dyDescent="0.2">
      <c r="A10" s="11">
        <f t="shared" si="0"/>
        <v>5</v>
      </c>
      <c r="B10" s="50" t="s">
        <v>41</v>
      </c>
      <c r="C10" s="4" t="s">
        <v>30</v>
      </c>
      <c r="D10" s="4"/>
      <c r="E10" s="4">
        <f>IF('ODS Analisis'!E10&gt;0,1,0)</f>
        <v>1</v>
      </c>
    </row>
    <row r="11" spans="1:5" ht="16" x14ac:dyDescent="0.2">
      <c r="A11" s="11">
        <f t="shared" si="0"/>
        <v>6</v>
      </c>
      <c r="B11" s="50" t="s">
        <v>17</v>
      </c>
      <c r="C11" s="4" t="s">
        <v>30</v>
      </c>
      <c r="D11" s="4"/>
      <c r="E11" s="54">
        <f>IF('ODS Analisis'!E11&gt;0,1,0)</f>
        <v>0</v>
      </c>
    </row>
    <row r="12" spans="1:5" ht="16" x14ac:dyDescent="0.2">
      <c r="A12" s="11">
        <f t="shared" si="0"/>
        <v>7</v>
      </c>
      <c r="B12" s="50" t="s">
        <v>18</v>
      </c>
      <c r="C12" s="4" t="s">
        <v>30</v>
      </c>
      <c r="D12" s="4"/>
      <c r="E12" s="4">
        <f>IF('ODS Analisis'!E12&gt;0,1,0)</f>
        <v>0</v>
      </c>
    </row>
    <row r="13" spans="1:5" ht="32" x14ac:dyDescent="0.2">
      <c r="A13" s="11">
        <f t="shared" si="0"/>
        <v>8</v>
      </c>
      <c r="B13" s="50" t="s">
        <v>21</v>
      </c>
      <c r="C13" s="4" t="s">
        <v>30</v>
      </c>
      <c r="D13" s="4"/>
      <c r="E13" s="4">
        <f>IF('ODS Analisis'!E13&gt;0,1,0)</f>
        <v>0</v>
      </c>
    </row>
    <row r="14" spans="1:5" ht="32" x14ac:dyDescent="0.2">
      <c r="A14" s="11">
        <f t="shared" si="0"/>
        <v>9</v>
      </c>
      <c r="B14" s="50" t="s">
        <v>22</v>
      </c>
      <c r="C14" s="4"/>
      <c r="D14" s="4" t="s">
        <v>30</v>
      </c>
      <c r="E14" s="4">
        <f>IF('ODS Analisis'!E14&gt;0,1,0)</f>
        <v>0</v>
      </c>
    </row>
    <row r="15" spans="1:5" ht="16" x14ac:dyDescent="0.2">
      <c r="A15" s="11">
        <f t="shared" si="0"/>
        <v>10</v>
      </c>
      <c r="B15" s="50" t="s">
        <v>19</v>
      </c>
      <c r="C15" s="4" t="s">
        <v>30</v>
      </c>
      <c r="D15" s="4"/>
      <c r="E15" s="54">
        <f>IF('ODS Analisis'!E15&gt;0,1,0)</f>
        <v>1</v>
      </c>
    </row>
    <row r="16" spans="1:5" ht="32" x14ac:dyDescent="0.2">
      <c r="A16" s="11">
        <f t="shared" si="0"/>
        <v>11</v>
      </c>
      <c r="B16" s="50" t="s">
        <v>23</v>
      </c>
      <c r="C16" s="4" t="s">
        <v>30</v>
      </c>
      <c r="D16" s="4"/>
      <c r="E16" s="4">
        <f>IF('ODS Analisis'!E16&gt;0,1,0)</f>
        <v>0</v>
      </c>
    </row>
    <row r="17" spans="1:5" ht="32" x14ac:dyDescent="0.2">
      <c r="A17" s="11">
        <f t="shared" si="0"/>
        <v>12</v>
      </c>
      <c r="B17" s="50" t="s">
        <v>20</v>
      </c>
      <c r="C17" s="4" t="s">
        <v>30</v>
      </c>
      <c r="D17" s="4"/>
      <c r="E17" s="4">
        <f>IF('ODS Analisis'!E17&gt;0,1,0)</f>
        <v>0</v>
      </c>
    </row>
    <row r="18" spans="1:5" ht="16" x14ac:dyDescent="0.2">
      <c r="A18" s="11">
        <f t="shared" si="0"/>
        <v>13</v>
      </c>
      <c r="B18" s="50" t="s">
        <v>24</v>
      </c>
      <c r="C18" s="4"/>
      <c r="D18" s="4" t="s">
        <v>30</v>
      </c>
      <c r="E18" s="54">
        <f>IF('ODS Analisis'!E18&gt;0,1,0)</f>
        <v>1</v>
      </c>
    </row>
    <row r="19" spans="1:5" ht="16" x14ac:dyDescent="0.2">
      <c r="A19" s="11">
        <f t="shared" si="0"/>
        <v>14</v>
      </c>
      <c r="B19" s="50" t="s">
        <v>25</v>
      </c>
      <c r="C19" s="4" t="s">
        <v>30</v>
      </c>
      <c r="D19" s="4"/>
      <c r="E19" s="54">
        <f>IF('ODS Analisis'!E19&gt;0,1,0)</f>
        <v>0</v>
      </c>
    </row>
    <row r="20" spans="1:5" ht="32" x14ac:dyDescent="0.2">
      <c r="A20" s="11">
        <f t="shared" si="0"/>
        <v>15</v>
      </c>
      <c r="B20" s="50" t="s">
        <v>26</v>
      </c>
      <c r="C20" s="4"/>
      <c r="D20" s="4" t="s">
        <v>30</v>
      </c>
      <c r="E20" s="4">
        <f>IF('ODS Analisis'!E20&gt;0,1,0)</f>
        <v>1</v>
      </c>
    </row>
    <row r="21" spans="1:5" ht="32" x14ac:dyDescent="0.2">
      <c r="A21" s="11">
        <f t="shared" si="0"/>
        <v>16</v>
      </c>
      <c r="B21" s="50" t="s">
        <v>27</v>
      </c>
      <c r="C21" s="4" t="s">
        <v>30</v>
      </c>
      <c r="D21" s="4"/>
      <c r="E21" s="54">
        <f>IF('ODS Analisis'!E21&gt;0,1,0)</f>
        <v>1</v>
      </c>
    </row>
    <row r="22" spans="1:5" ht="32" x14ac:dyDescent="0.2">
      <c r="A22" s="11">
        <f t="shared" si="0"/>
        <v>17</v>
      </c>
      <c r="B22" s="50" t="s">
        <v>28</v>
      </c>
      <c r="C22" s="4" t="s">
        <v>30</v>
      </c>
      <c r="D22" s="4"/>
      <c r="E22" s="54">
        <f>IF('ODS Analisis'!E22&gt;0,1,0)</f>
        <v>0</v>
      </c>
    </row>
    <row r="23" spans="1:5" ht="16" x14ac:dyDescent="0.2">
      <c r="B23" s="50" t="s">
        <v>2</v>
      </c>
      <c r="E23" s="3">
        <f>SUM(E6:E22)</f>
        <v>9</v>
      </c>
    </row>
    <row r="24" spans="1:5" ht="17" thickBot="1" x14ac:dyDescent="0.25">
      <c r="B24" s="55" t="s">
        <v>40</v>
      </c>
      <c r="C24" s="56"/>
      <c r="D24" s="56"/>
      <c r="E24" s="56">
        <f>IF(E23=0,0,IF(E23&lt;=3,1,IF(E23&lt;=5,2,IF(E23&lt;=8,3,IF(E23&lt;=11,4,5)))))</f>
        <v>4</v>
      </c>
    </row>
    <row r="26" spans="1:5" ht="16" thickBot="1" x14ac:dyDescent="0.25">
      <c r="B26" s="439" t="s">
        <v>8</v>
      </c>
      <c r="C26" s="439"/>
      <c r="D26" s="3" t="s">
        <v>50</v>
      </c>
    </row>
    <row r="27" spans="1:5" ht="17" thickTop="1" x14ac:dyDescent="0.2">
      <c r="B27" s="8" t="s">
        <v>13</v>
      </c>
      <c r="C27" s="3">
        <v>0</v>
      </c>
    </row>
    <row r="28" spans="1:5" ht="16" x14ac:dyDescent="0.2">
      <c r="B28" s="8" t="s">
        <v>32</v>
      </c>
      <c r="C28" s="3">
        <v>1</v>
      </c>
    </row>
    <row r="29" spans="1:5" ht="16" x14ac:dyDescent="0.2">
      <c r="B29" s="8" t="s">
        <v>33</v>
      </c>
      <c r="C29" s="3">
        <v>2</v>
      </c>
    </row>
    <row r="30" spans="1:5" ht="16" x14ac:dyDescent="0.2">
      <c r="B30" s="8" t="s">
        <v>31</v>
      </c>
      <c r="C30" s="3">
        <v>3</v>
      </c>
    </row>
    <row r="31" spans="1:5" ht="16" x14ac:dyDescent="0.2">
      <c r="B31" s="8" t="s">
        <v>34</v>
      </c>
      <c r="C31" s="3">
        <v>4</v>
      </c>
    </row>
    <row r="32" spans="1:5" ht="16" x14ac:dyDescent="0.2">
      <c r="B32" s="8" t="s">
        <v>35</v>
      </c>
      <c r="C32" s="3">
        <v>5</v>
      </c>
    </row>
  </sheetData>
  <mergeCells count="1">
    <mergeCell ref="B26:C26"/>
  </mergeCells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7F16"/>
  </sheetPr>
  <dimension ref="B5:H33"/>
  <sheetViews>
    <sheetView showGridLines="0" topLeftCell="A22" workbookViewId="0">
      <selection activeCell="E33" sqref="E33:E34"/>
    </sheetView>
  </sheetViews>
  <sheetFormatPr baseColWidth="10" defaultRowHeight="15" x14ac:dyDescent="0.2"/>
  <cols>
    <col min="2" max="2" width="40.33203125" customWidth="1"/>
    <col min="3" max="3" width="17" customWidth="1"/>
    <col min="4" max="4" width="18.33203125" customWidth="1"/>
  </cols>
  <sheetData>
    <row r="5" spans="2:8" x14ac:dyDescent="0.2">
      <c r="B5" s="443" t="s">
        <v>76</v>
      </c>
      <c r="C5" s="440" t="str">
        <f>+'Criterios inversion'!B13</f>
        <v>Critério de peso</v>
      </c>
      <c r="D5" s="241" t="s">
        <v>189</v>
      </c>
    </row>
    <row r="6" spans="2:8" ht="16" thickBot="1" x14ac:dyDescent="0.25">
      <c r="B6" s="444"/>
      <c r="C6" s="441"/>
      <c r="D6" s="242"/>
    </row>
    <row r="7" spans="2:8" ht="16" x14ac:dyDescent="0.2">
      <c r="B7" s="228" t="s">
        <v>232</v>
      </c>
      <c r="C7" s="47">
        <v>0.25</v>
      </c>
      <c r="D7" s="246">
        <v>4</v>
      </c>
      <c r="E7" t="s">
        <v>233</v>
      </c>
    </row>
    <row r="8" spans="2:8" ht="16" x14ac:dyDescent="0.2">
      <c r="B8" s="229" t="s">
        <v>231</v>
      </c>
      <c r="C8" s="143"/>
      <c r="D8" s="230"/>
    </row>
    <row r="9" spans="2:8" ht="16" x14ac:dyDescent="0.2">
      <c r="B9" s="231" t="s">
        <v>229</v>
      </c>
      <c r="C9" s="48">
        <v>0.2</v>
      </c>
      <c r="D9" s="247">
        <v>0</v>
      </c>
      <c r="E9" t="s">
        <v>234</v>
      </c>
    </row>
    <row r="10" spans="2:8" ht="16" x14ac:dyDescent="0.2">
      <c r="B10" s="231" t="s">
        <v>230</v>
      </c>
      <c r="C10" s="48">
        <v>0.25</v>
      </c>
      <c r="D10" s="247">
        <v>0</v>
      </c>
      <c r="E10" t="s">
        <v>235</v>
      </c>
    </row>
    <row r="11" spans="2:8" ht="16" x14ac:dyDescent="0.2">
      <c r="B11" s="231" t="s">
        <v>228</v>
      </c>
      <c r="C11" s="48">
        <v>0.15</v>
      </c>
      <c r="D11" s="247">
        <v>0</v>
      </c>
      <c r="E11" t="s">
        <v>236</v>
      </c>
    </row>
    <row r="12" spans="2:8" ht="16" x14ac:dyDescent="0.2">
      <c r="B12" s="232" t="s">
        <v>227</v>
      </c>
      <c r="C12" s="49">
        <v>0.15</v>
      </c>
      <c r="D12" s="248">
        <v>0</v>
      </c>
      <c r="E12" t="s">
        <v>237</v>
      </c>
    </row>
    <row r="13" spans="2:8" ht="32" x14ac:dyDescent="0.2">
      <c r="B13" s="243" t="s">
        <v>226</v>
      </c>
      <c r="C13" s="244">
        <v>0.5</v>
      </c>
      <c r="D13" s="245">
        <f>SUMPRODUCT($C$7:$C$12,$D$7:$D$12)*$C$13</f>
        <v>0.5</v>
      </c>
    </row>
    <row r="14" spans="2:8" ht="16" x14ac:dyDescent="0.2">
      <c r="B14" s="234" t="s">
        <v>225</v>
      </c>
      <c r="C14" s="126"/>
      <c r="D14" s="235"/>
    </row>
    <row r="15" spans="2:8" x14ac:dyDescent="0.2">
      <c r="B15" s="445" t="s">
        <v>224</v>
      </c>
      <c r="C15" s="446"/>
      <c r="D15" s="235"/>
      <c r="E15" s="126"/>
    </row>
    <row r="16" spans="2:8" ht="16" x14ac:dyDescent="0.2">
      <c r="B16" s="236" t="s">
        <v>223</v>
      </c>
      <c r="C16" s="48" t="e">
        <f>HLOOKUP(LEAME!$C$11,'Auxiliar 2'!$G$35:$I$41,2,0)</f>
        <v>#N/A</v>
      </c>
      <c r="D16" s="249"/>
      <c r="E16" s="145" t="e">
        <f>IF(HLOOKUP(LEAME!$C$11,'Auxiliar 2'!$J$35:$L$41,2,0)=0," ",HLOOKUP(LEAME!$C$11,'Auxiliar 2'!$J$35:$L$41,2,0))</f>
        <v>#N/A</v>
      </c>
      <c r="F16" s="145"/>
      <c r="G16" s="145"/>
      <c r="H16" s="145"/>
    </row>
    <row r="17" spans="2:8" ht="16" x14ac:dyDescent="0.2">
      <c r="B17" s="236" t="s">
        <v>221</v>
      </c>
      <c r="C17" s="48" t="e">
        <f>HLOOKUP(LEAME!$C$11,'Auxiliar 2'!$G$35:$I$41,3,0)</f>
        <v>#N/A</v>
      </c>
      <c r="D17" s="249"/>
      <c r="E17" s="145" t="e">
        <f>IF(HLOOKUP(LEAME!$C$11,'Auxiliar 2'!$J$35:$L$41,3,0)=0," ",HLOOKUP(LEAME!$C$11,'Auxiliar 2'!$J$35:$L$41,3,0))</f>
        <v>#N/A</v>
      </c>
      <c r="F17" s="145"/>
      <c r="G17" s="145"/>
      <c r="H17" s="145"/>
    </row>
    <row r="18" spans="2:8" ht="16" x14ac:dyDescent="0.2">
      <c r="B18" s="236" t="s">
        <v>222</v>
      </c>
      <c r="C18" s="48" t="e">
        <f>HLOOKUP(LEAME!$C$11,'Auxiliar 2'!$G$35:$I$41,4,0)</f>
        <v>#N/A</v>
      </c>
      <c r="D18" s="249"/>
      <c r="E18" s="145" t="e">
        <f>IF(HLOOKUP(LEAME!$C$11,'Auxiliar 2'!$J$35:$L$41,4,0)=0," ",HLOOKUP(LEAME!$C$11,'Auxiliar 2'!$J$35:$L$41,4,0))</f>
        <v>#N/A</v>
      </c>
      <c r="F18" s="145"/>
      <c r="G18" s="145"/>
      <c r="H18" s="145"/>
    </row>
    <row r="19" spans="2:8" ht="16" x14ac:dyDescent="0.2">
      <c r="B19" s="236" t="s">
        <v>220</v>
      </c>
      <c r="C19" s="48" t="e">
        <f>HLOOKUP(LEAME!$C$11,'Auxiliar 2'!$G$35:$I$41,5,0)</f>
        <v>#N/A</v>
      </c>
      <c r="D19" s="249">
        <v>4</v>
      </c>
      <c r="E19" s="145" t="e">
        <f>IF(HLOOKUP(LEAME!$C$11,'Auxiliar 2'!$J$35:$L$41,5,0)=0," ",HLOOKUP(LEAME!$C$11,'Auxiliar 2'!$J$35:$L$41,5,0))</f>
        <v>#N/A</v>
      </c>
      <c r="F19" s="65"/>
      <c r="G19" s="145"/>
      <c r="H19" s="145"/>
    </row>
    <row r="20" spans="2:8" ht="32" x14ac:dyDescent="0.2">
      <c r="B20" s="236" t="s">
        <v>219</v>
      </c>
      <c r="C20" s="48" t="e">
        <f>HLOOKUP(LEAME!$C$11,'Auxiliar 2'!$G$35:$I$41,6,0)</f>
        <v>#N/A</v>
      </c>
      <c r="D20" s="249">
        <v>4</v>
      </c>
      <c r="E20" s="145" t="e">
        <f>IF(HLOOKUP(LEAME!$C$11,'Auxiliar 2'!$J$35:$L$41,6,0)=0," ",HLOOKUP(LEAME!$C$11,'Auxiliar 2'!$J$35:$L$41,6,0))</f>
        <v>#N/A</v>
      </c>
      <c r="F20" s="65"/>
      <c r="G20" s="145"/>
      <c r="H20" s="145"/>
    </row>
    <row r="21" spans="2:8" ht="32" x14ac:dyDescent="0.2">
      <c r="B21" s="237" t="s">
        <v>218</v>
      </c>
      <c r="C21" s="49" t="e">
        <f>HLOOKUP(LEAME!$C$11,'Auxiliar 2'!$G$35:$I$41,7,0)</f>
        <v>#N/A</v>
      </c>
      <c r="D21" s="250">
        <v>1</v>
      </c>
      <c r="E21" s="145" t="e">
        <f>IF(HLOOKUP(LEAME!$C$11,'Auxiliar 2'!$J$35:$L$41,7,0)=0," ",HLOOKUP(LEAME!$C$11,'Auxiliar 2'!$J$35:$L$41,7,0))</f>
        <v>#N/A</v>
      </c>
      <c r="F21" s="65"/>
      <c r="G21" s="145"/>
      <c r="H21" s="145"/>
    </row>
    <row r="22" spans="2:8" ht="16" x14ac:dyDescent="0.2">
      <c r="B22" s="233" t="s">
        <v>217</v>
      </c>
      <c r="C22" s="144">
        <f>1-C13</f>
        <v>0.5</v>
      </c>
      <c r="D22" s="225" t="e">
        <f>SUMPRODUCT($C$16:$C$21,$D$16:$D$21)*$C$22</f>
        <v>#N/A</v>
      </c>
      <c r="E22" s="8"/>
      <c r="F22" s="8"/>
    </row>
    <row r="23" spans="2:8" ht="44" customHeight="1" x14ac:dyDescent="0.2">
      <c r="B23" s="238" t="s">
        <v>216</v>
      </c>
      <c r="C23" s="239"/>
      <c r="D23" s="240" t="e">
        <f>+D22+D13</f>
        <v>#N/A</v>
      </c>
    </row>
    <row r="24" spans="2:8" x14ac:dyDescent="0.2">
      <c r="B24" s="129" t="s">
        <v>215</v>
      </c>
    </row>
    <row r="27" spans="2:8" ht="30" customHeight="1" x14ac:dyDescent="0.2">
      <c r="B27" s="442" t="s">
        <v>208</v>
      </c>
      <c r="C27" s="442"/>
    </row>
    <row r="28" spans="2:8" ht="16" x14ac:dyDescent="0.2">
      <c r="B28" s="251" t="s">
        <v>209</v>
      </c>
      <c r="C28" s="6">
        <v>0</v>
      </c>
    </row>
    <row r="29" spans="2:8" ht="16" x14ac:dyDescent="0.2">
      <c r="B29" s="251" t="s">
        <v>210</v>
      </c>
      <c r="C29" s="6">
        <v>1</v>
      </c>
    </row>
    <row r="30" spans="2:8" ht="16" x14ac:dyDescent="0.2">
      <c r="B30" s="251" t="s">
        <v>211</v>
      </c>
      <c r="C30" s="6">
        <v>2</v>
      </c>
    </row>
    <row r="31" spans="2:8" ht="16" x14ac:dyDescent="0.2">
      <c r="B31" s="251" t="s">
        <v>212</v>
      </c>
      <c r="C31" s="6">
        <v>3</v>
      </c>
    </row>
    <row r="32" spans="2:8" ht="16" x14ac:dyDescent="0.2">
      <c r="B32" s="251" t="s">
        <v>213</v>
      </c>
      <c r="C32" s="6">
        <v>4</v>
      </c>
    </row>
    <row r="33" spans="2:3" ht="16" x14ac:dyDescent="0.2">
      <c r="B33" s="251" t="s">
        <v>214</v>
      </c>
      <c r="C33" s="6">
        <v>5</v>
      </c>
    </row>
  </sheetData>
  <mergeCells count="4">
    <mergeCell ref="C5:C6"/>
    <mergeCell ref="B27:C27"/>
    <mergeCell ref="B5:B6"/>
    <mergeCell ref="B15:C15"/>
  </mergeCells>
  <dataValidations count="1">
    <dataValidation type="whole" allowBlank="1" showInputMessage="1" showErrorMessage="1" sqref="D7" xr:uid="{00000000-0002-0000-0500-000000000000}">
      <formula1>0</formula1>
      <formula2>5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7F16"/>
  </sheetPr>
  <dimension ref="B1:J27"/>
  <sheetViews>
    <sheetView topLeftCell="A19" zoomScale="110" zoomScaleNormal="110" workbookViewId="0">
      <selection activeCell="D34" sqref="D34"/>
    </sheetView>
  </sheetViews>
  <sheetFormatPr baseColWidth="10" defaultRowHeight="15" x14ac:dyDescent="0.2"/>
  <cols>
    <col min="2" max="2" width="36.33203125" customWidth="1"/>
    <col min="3" max="3" width="14.33203125" customWidth="1"/>
    <col min="4" max="4" width="22" customWidth="1"/>
    <col min="5" max="10" width="20.1640625" customWidth="1"/>
  </cols>
  <sheetData>
    <row r="1" spans="2:8" x14ac:dyDescent="0.2">
      <c r="B1" s="2" t="s">
        <v>238</v>
      </c>
    </row>
    <row r="2" spans="2:8" ht="16" x14ac:dyDescent="0.2">
      <c r="B2" s="447" t="s">
        <v>239</v>
      </c>
      <c r="C2" s="1" t="s">
        <v>9</v>
      </c>
      <c r="D2" s="39" t="s">
        <v>254</v>
      </c>
      <c r="E2" s="42" t="s">
        <v>256</v>
      </c>
      <c r="F2" s="44" t="s">
        <v>12</v>
      </c>
    </row>
    <row r="3" spans="2:8" ht="16" x14ac:dyDescent="0.2">
      <c r="B3" s="447"/>
      <c r="C3" s="7" t="s">
        <v>10</v>
      </c>
      <c r="D3" s="41" t="s">
        <v>253</v>
      </c>
      <c r="E3" s="40" t="s">
        <v>255</v>
      </c>
      <c r="F3" s="43" t="s">
        <v>256</v>
      </c>
    </row>
    <row r="4" spans="2:8" ht="16" x14ac:dyDescent="0.2">
      <c r="B4" s="447"/>
      <c r="C4" s="7" t="s">
        <v>250</v>
      </c>
      <c r="D4" s="45" t="s">
        <v>251</v>
      </c>
      <c r="E4" s="41" t="s">
        <v>253</v>
      </c>
      <c r="F4" s="40" t="s">
        <v>254</v>
      </c>
    </row>
    <row r="5" spans="2:8" x14ac:dyDescent="0.2">
      <c r="D5" s="6" t="s">
        <v>250</v>
      </c>
      <c r="E5" s="6" t="s">
        <v>252</v>
      </c>
      <c r="F5" s="6" t="s">
        <v>9</v>
      </c>
    </row>
    <row r="6" spans="2:8" x14ac:dyDescent="0.2">
      <c r="D6" s="448" t="s">
        <v>257</v>
      </c>
      <c r="E6" s="448"/>
      <c r="F6" s="448"/>
    </row>
    <row r="7" spans="2:8" ht="16" thickBot="1" x14ac:dyDescent="0.25"/>
    <row r="8" spans="2:8" ht="30" customHeight="1" thickBot="1" x14ac:dyDescent="0.25">
      <c r="B8" s="252" t="s">
        <v>240</v>
      </c>
      <c r="C8" s="451" t="s">
        <v>241</v>
      </c>
      <c r="D8" s="451"/>
      <c r="E8" s="451"/>
      <c r="F8" s="451"/>
      <c r="G8" s="451"/>
      <c r="H8" s="452"/>
    </row>
    <row r="9" spans="2:8" x14ac:dyDescent="0.2">
      <c r="B9" s="253" t="s">
        <v>242</v>
      </c>
      <c r="C9" s="12" t="s">
        <v>245</v>
      </c>
      <c r="D9" s="12"/>
      <c r="E9" s="12"/>
      <c r="F9" s="12"/>
      <c r="G9" s="12"/>
      <c r="H9" s="13"/>
    </row>
    <row r="10" spans="2:8" x14ac:dyDescent="0.2">
      <c r="B10" s="254" t="s">
        <v>243</v>
      </c>
      <c r="C10" t="s">
        <v>246</v>
      </c>
      <c r="H10" s="38"/>
    </row>
    <row r="11" spans="2:8" x14ac:dyDescent="0.2">
      <c r="B11" s="254" t="s">
        <v>244</v>
      </c>
      <c r="C11" t="s">
        <v>247</v>
      </c>
      <c r="H11" s="38"/>
    </row>
    <row r="12" spans="2:8" ht="16" thickBot="1" x14ac:dyDescent="0.25">
      <c r="B12" s="255"/>
      <c r="C12" s="14" t="s">
        <v>248</v>
      </c>
      <c r="D12" s="14"/>
      <c r="E12" s="14"/>
      <c r="F12" s="14"/>
      <c r="G12" s="14"/>
      <c r="H12" s="15"/>
    </row>
    <row r="16" spans="2:8" ht="25" customHeight="1" x14ac:dyDescent="0.2">
      <c r="B16" s="453" t="s">
        <v>249</v>
      </c>
      <c r="C16" s="453"/>
      <c r="D16" s="453"/>
    </row>
    <row r="17" spans="2:10" x14ac:dyDescent="0.2">
      <c r="B17" s="450"/>
      <c r="C17" s="449" t="s">
        <v>198</v>
      </c>
      <c r="D17" s="257" t="s">
        <v>189</v>
      </c>
    </row>
    <row r="18" spans="2:10" x14ac:dyDescent="0.2">
      <c r="B18" s="450"/>
      <c r="C18" s="449"/>
      <c r="D18" s="258"/>
    </row>
    <row r="19" spans="2:10" ht="16" x14ac:dyDescent="0.2">
      <c r="B19" s="259" t="s">
        <v>11</v>
      </c>
      <c r="C19" s="263">
        <v>0.3</v>
      </c>
      <c r="D19" s="69">
        <v>5</v>
      </c>
    </row>
    <row r="20" spans="2:10" ht="16" x14ac:dyDescent="0.2">
      <c r="B20" s="259" t="s">
        <v>258</v>
      </c>
      <c r="C20" s="263">
        <v>0.3</v>
      </c>
      <c r="D20" s="69">
        <v>5</v>
      </c>
    </row>
    <row r="21" spans="2:10" ht="16" x14ac:dyDescent="0.2">
      <c r="B21" s="259" t="s">
        <v>259</v>
      </c>
      <c r="C21" s="69"/>
      <c r="D21" s="69"/>
    </row>
    <row r="22" spans="2:10" ht="16" x14ac:dyDescent="0.2">
      <c r="B22" s="146" t="s">
        <v>383</v>
      </c>
      <c r="C22" s="263">
        <v>0.2</v>
      </c>
      <c r="D22" s="69">
        <v>5</v>
      </c>
    </row>
    <row r="23" spans="2:10" ht="17" customHeight="1" x14ac:dyDescent="0.2">
      <c r="B23" s="146" t="s">
        <v>384</v>
      </c>
      <c r="C23" s="263">
        <v>0.2</v>
      </c>
      <c r="D23" s="69">
        <f>+D22</f>
        <v>5</v>
      </c>
    </row>
    <row r="24" spans="2:10" s="2" customFormat="1" ht="36" customHeight="1" x14ac:dyDescent="0.2">
      <c r="B24" s="260" t="s">
        <v>260</v>
      </c>
      <c r="C24" s="261"/>
      <c r="D24" s="262">
        <f>SUMPRODUCT(D19:D23,$C$19:$C$23)</f>
        <v>5</v>
      </c>
      <c r="E24"/>
      <c r="F24"/>
      <c r="G24"/>
      <c r="H24"/>
      <c r="I24"/>
      <c r="J24"/>
    </row>
    <row r="25" spans="2:10" x14ac:dyDescent="0.2">
      <c r="D25" s="3"/>
    </row>
    <row r="26" spans="2:10" x14ac:dyDescent="0.2">
      <c r="D26" s="3"/>
    </row>
    <row r="27" spans="2:10" x14ac:dyDescent="0.2">
      <c r="D27" s="3"/>
      <c r="E27" s="3"/>
      <c r="F27" s="3"/>
      <c r="G27" s="3"/>
      <c r="H27" s="3"/>
      <c r="I27" s="3"/>
      <c r="J27" s="3"/>
    </row>
  </sheetData>
  <mergeCells count="6">
    <mergeCell ref="B2:B4"/>
    <mergeCell ref="D6:F6"/>
    <mergeCell ref="C17:C18"/>
    <mergeCell ref="B17:B18"/>
    <mergeCell ref="C8:H8"/>
    <mergeCell ref="B16:D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3"/>
  <sheetViews>
    <sheetView topLeftCell="A34" zoomScale="125" workbookViewId="0">
      <selection activeCell="E6" sqref="E6"/>
    </sheetView>
  </sheetViews>
  <sheetFormatPr baseColWidth="10" defaultColWidth="14.33203125" defaultRowHeight="15" customHeight="1" x14ac:dyDescent="0.2"/>
  <cols>
    <col min="1" max="1" width="40.33203125" style="98" customWidth="1"/>
    <col min="2" max="2" width="24.6640625" style="98" customWidth="1"/>
    <col min="3" max="3" width="30.6640625" customWidth="1"/>
    <col min="4" max="22" width="10.6640625" customWidth="1"/>
  </cols>
  <sheetData>
    <row r="1" spans="1:22" ht="15" customHeight="1" x14ac:dyDescent="0.2">
      <c r="A1" s="456" t="s">
        <v>261</v>
      </c>
      <c r="B1" s="456"/>
      <c r="C1" s="456"/>
    </row>
    <row r="2" spans="1:22" x14ac:dyDescent="0.2">
      <c r="A2" s="455" t="s">
        <v>262</v>
      </c>
      <c r="B2" s="455"/>
      <c r="C2" s="455"/>
      <c r="D2" s="100"/>
      <c r="E2" s="100"/>
      <c r="F2" s="100"/>
      <c r="G2" s="101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2" ht="28" customHeight="1" x14ac:dyDescent="0.2">
      <c r="A3" s="325" t="s">
        <v>263</v>
      </c>
      <c r="B3" s="325"/>
      <c r="C3" s="326" t="s">
        <v>270</v>
      </c>
      <c r="D3" s="102"/>
      <c r="E3" s="101"/>
      <c r="F3" s="102"/>
      <c r="G3" s="102"/>
      <c r="H3" s="102"/>
      <c r="I3" s="102"/>
      <c r="J3" s="102"/>
      <c r="K3" s="102"/>
      <c r="L3" s="102"/>
      <c r="M3" s="100"/>
      <c r="N3" s="101"/>
      <c r="O3" s="101"/>
      <c r="P3" s="101"/>
      <c r="Q3" s="101"/>
      <c r="R3" s="101"/>
      <c r="S3" s="101"/>
      <c r="T3" s="101"/>
      <c r="U3" s="101"/>
      <c r="V3" s="101"/>
    </row>
    <row r="4" spans="1:22" x14ac:dyDescent="0.2">
      <c r="A4" s="454" t="s">
        <v>264</v>
      </c>
      <c r="B4" s="454"/>
      <c r="C4" s="454"/>
      <c r="D4" s="102"/>
      <c r="E4" s="101"/>
      <c r="F4" s="102"/>
      <c r="G4" s="102"/>
      <c r="H4" s="102"/>
      <c r="I4" s="102"/>
      <c r="J4" s="102"/>
      <c r="K4" s="102"/>
      <c r="L4" s="102"/>
      <c r="M4" s="100"/>
      <c r="N4" s="101"/>
      <c r="O4" s="101"/>
      <c r="P4" s="101"/>
      <c r="Q4" s="101"/>
      <c r="R4" s="101"/>
      <c r="S4" s="101"/>
      <c r="T4" s="101"/>
      <c r="U4" s="101"/>
      <c r="V4" s="101"/>
    </row>
    <row r="5" spans="1:22" ht="30" x14ac:dyDescent="0.2">
      <c r="A5" s="327" t="s">
        <v>271</v>
      </c>
      <c r="B5" s="264" t="str">
        <f>IF(LEAME!$C$11=1,'Auxiliar 2'!C3,IF(LEAME!$C$11=2,'Auxiliar 2'!C4,'Auxiliar 2'!C5))</f>
        <v>Adaptação</v>
      </c>
      <c r="C5" s="264" t="str">
        <f>IF(LEAME!$C$11=1,'Auxiliar 2'!D3,IF(LEAME!$C$11=2,'Auxiliar 2'!D4,'Auxiliar 2'!D5))</f>
        <v xml:space="preserve"> Pessoas e comunidades mais vulneráveis, segurança hídrica e alimentar</v>
      </c>
      <c r="D5" s="102"/>
      <c r="E5" s="101"/>
      <c r="F5" s="102"/>
      <c r="G5" s="102"/>
      <c r="H5" s="102"/>
      <c r="I5" s="102"/>
      <c r="J5" s="102"/>
      <c r="K5" s="102"/>
      <c r="L5" s="102"/>
      <c r="M5" s="100"/>
      <c r="N5" s="101"/>
      <c r="O5" s="101"/>
      <c r="P5" s="101"/>
      <c r="Q5" s="101"/>
      <c r="R5" s="101"/>
      <c r="S5" s="101"/>
      <c r="T5" s="101"/>
      <c r="U5" s="101"/>
      <c r="V5" s="101"/>
    </row>
    <row r="6" spans="1:22" x14ac:dyDescent="0.2">
      <c r="A6" s="454" t="s">
        <v>265</v>
      </c>
      <c r="B6" s="454"/>
      <c r="C6" s="454"/>
      <c r="D6" s="102"/>
      <c r="E6" s="101"/>
      <c r="F6" s="102"/>
      <c r="G6" s="102"/>
      <c r="H6" s="102"/>
      <c r="I6" s="102"/>
      <c r="J6" s="102"/>
      <c r="K6" s="102"/>
      <c r="L6" s="102"/>
      <c r="M6" s="100"/>
      <c r="N6" s="101"/>
      <c r="O6" s="101"/>
      <c r="P6" s="101"/>
      <c r="Q6" s="101"/>
      <c r="R6" s="101"/>
      <c r="S6" s="101"/>
      <c r="T6" s="101"/>
      <c r="U6" s="101"/>
      <c r="V6" s="101"/>
    </row>
    <row r="7" spans="1:22" x14ac:dyDescent="0.2">
      <c r="A7" s="328" t="s">
        <v>82</v>
      </c>
      <c r="B7" s="329"/>
      <c r="C7" s="330" t="str">
        <f>LEAME!D33</f>
        <v>0 a 100 familias</v>
      </c>
      <c r="D7" s="102"/>
      <c r="E7" s="101"/>
      <c r="F7" s="102"/>
      <c r="G7" s="102"/>
      <c r="H7" s="102"/>
      <c r="I7" s="102"/>
      <c r="J7" s="102"/>
      <c r="K7" s="102"/>
      <c r="L7" s="102"/>
      <c r="M7" s="100"/>
      <c r="N7" s="101"/>
      <c r="O7" s="101"/>
      <c r="P7" s="101"/>
      <c r="Q7" s="101"/>
      <c r="R7" s="101"/>
      <c r="S7" s="101"/>
      <c r="T7" s="101"/>
      <c r="U7" s="101"/>
      <c r="V7" s="101"/>
    </row>
    <row r="8" spans="1:22" x14ac:dyDescent="0.2">
      <c r="A8" s="329" t="s">
        <v>83</v>
      </c>
      <c r="B8" s="329"/>
      <c r="C8" s="330" t="str">
        <f>LEAME!D34</f>
        <v>&gt; al 50.1% de la población del Municipio</v>
      </c>
      <c r="D8" s="102"/>
      <c r="E8" s="101"/>
      <c r="F8" s="102"/>
      <c r="G8" s="102"/>
      <c r="H8" s="102"/>
      <c r="I8" s="102"/>
      <c r="J8" s="102"/>
      <c r="K8" s="102"/>
      <c r="L8" s="102"/>
      <c r="M8" s="100"/>
      <c r="N8" s="101"/>
      <c r="O8" s="101"/>
      <c r="P8" s="101"/>
      <c r="Q8" s="101"/>
      <c r="R8" s="101"/>
      <c r="S8" s="101"/>
      <c r="T8" s="101"/>
      <c r="U8" s="101"/>
      <c r="V8" s="101"/>
    </row>
    <row r="9" spans="1:22" x14ac:dyDescent="0.2">
      <c r="A9" s="454" t="s">
        <v>103</v>
      </c>
      <c r="B9" s="454"/>
      <c r="C9" s="454"/>
      <c r="D9" s="102"/>
      <c r="E9" s="101"/>
      <c r="F9" s="102"/>
      <c r="G9" s="102"/>
      <c r="H9" s="102"/>
      <c r="I9" s="102"/>
      <c r="J9" s="102"/>
      <c r="K9" s="102"/>
      <c r="L9" s="102"/>
      <c r="M9" s="100"/>
      <c r="N9" s="101"/>
      <c r="O9" s="101"/>
      <c r="P9" s="101"/>
      <c r="Q9" s="101"/>
      <c r="R9" s="101"/>
      <c r="S9" s="101"/>
      <c r="T9" s="101"/>
      <c r="U9" s="101"/>
      <c r="V9" s="101"/>
    </row>
    <row r="10" spans="1:22" x14ac:dyDescent="0.2">
      <c r="A10" s="112" t="s">
        <v>266</v>
      </c>
      <c r="B10" s="330" t="str">
        <f>IF(LEAME!$D$37=1,'Auxiliar 2'!D8,IF(LEAME!D37=2,'Auxiliar 2'!D9,'Auxiliar 2'!D10))</f>
        <v>Euros</v>
      </c>
      <c r="C10" s="331">
        <f>+LEAME!E37</f>
        <v>1500000</v>
      </c>
      <c r="D10" s="102"/>
      <c r="E10" s="101"/>
      <c r="F10" s="102"/>
      <c r="G10" s="102"/>
      <c r="H10" s="102"/>
      <c r="I10" s="102"/>
      <c r="J10" s="102"/>
      <c r="K10" s="102"/>
      <c r="L10" s="102"/>
      <c r="M10" s="100"/>
      <c r="N10" s="101"/>
      <c r="O10" s="101"/>
      <c r="P10" s="101"/>
      <c r="Q10" s="101"/>
      <c r="R10" s="101"/>
      <c r="S10" s="101"/>
      <c r="T10" s="101"/>
      <c r="U10" s="101"/>
      <c r="V10" s="101"/>
    </row>
    <row r="11" spans="1:22" x14ac:dyDescent="0.2">
      <c r="A11" s="112" t="s">
        <v>88</v>
      </c>
      <c r="B11" s="330" t="str">
        <f>+LEAME!D39</f>
        <v>Euros/tCO2</v>
      </c>
      <c r="C11" s="330">
        <f>+LEAME!E39</f>
        <v>30</v>
      </c>
      <c r="D11" s="102"/>
      <c r="E11" s="101"/>
      <c r="F11" s="102"/>
      <c r="G11" s="102"/>
      <c r="H11" s="102"/>
      <c r="I11" s="102"/>
      <c r="J11" s="102"/>
      <c r="K11" s="102"/>
      <c r="L11" s="102"/>
      <c r="M11" s="100"/>
      <c r="N11" s="101"/>
      <c r="O11" s="101"/>
      <c r="P11" s="101"/>
      <c r="Q11" s="101"/>
      <c r="R11" s="101"/>
      <c r="S11" s="101"/>
      <c r="T11" s="101"/>
      <c r="U11" s="101"/>
      <c r="V11" s="101"/>
    </row>
    <row r="12" spans="1:22" x14ac:dyDescent="0.2">
      <c r="A12" s="454" t="s">
        <v>267</v>
      </c>
      <c r="B12" s="454"/>
      <c r="C12" s="454"/>
      <c r="D12" s="102"/>
      <c r="E12" s="101"/>
      <c r="F12" s="102"/>
      <c r="G12" s="102"/>
      <c r="H12" s="102"/>
      <c r="I12" s="102"/>
      <c r="J12" s="102"/>
      <c r="K12" s="102"/>
      <c r="L12" s="102"/>
      <c r="M12" s="100"/>
      <c r="N12" s="101"/>
      <c r="O12" s="101"/>
      <c r="P12" s="101"/>
      <c r="Q12" s="101"/>
      <c r="R12" s="101"/>
      <c r="S12" s="101"/>
      <c r="T12" s="101"/>
      <c r="U12" s="101"/>
      <c r="V12" s="101"/>
    </row>
    <row r="13" spans="1:22" x14ac:dyDescent="0.2">
      <c r="A13" s="112" t="s">
        <v>268</v>
      </c>
      <c r="B13" s="332" t="str">
        <f>+LEAME!D43</f>
        <v>anos</v>
      </c>
      <c r="C13" s="332">
        <f>+LEAME!E43</f>
        <v>1</v>
      </c>
      <c r="D13" s="102"/>
      <c r="E13" s="101"/>
      <c r="F13" s="102"/>
      <c r="G13" s="102"/>
      <c r="H13" s="102"/>
      <c r="I13" s="102"/>
      <c r="J13" s="102"/>
      <c r="K13" s="102"/>
      <c r="L13" s="102"/>
      <c r="M13" s="100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x14ac:dyDescent="0.2">
      <c r="A14" s="112" t="s">
        <v>269</v>
      </c>
      <c r="B14" s="332" t="str">
        <f>+LEAME!D44</f>
        <v>anos</v>
      </c>
      <c r="C14" s="332">
        <f>+LEAME!E44</f>
        <v>10</v>
      </c>
      <c r="D14" s="102"/>
      <c r="E14" s="101"/>
      <c r="F14" s="102"/>
      <c r="G14" s="102"/>
      <c r="H14" s="102"/>
      <c r="I14" s="102"/>
      <c r="J14" s="102"/>
      <c r="K14" s="102"/>
      <c r="L14" s="102"/>
      <c r="M14" s="100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x14ac:dyDescent="0.2">
      <c r="A15" s="454" t="s">
        <v>272</v>
      </c>
      <c r="B15" s="454"/>
      <c r="C15" s="454"/>
      <c r="D15" s="102"/>
      <c r="E15" s="101"/>
      <c r="F15" s="102"/>
      <c r="G15" s="102"/>
      <c r="H15" s="102"/>
      <c r="I15" s="102"/>
      <c r="J15" s="102"/>
      <c r="K15" s="102"/>
      <c r="L15" s="102"/>
      <c r="M15" s="100"/>
      <c r="N15" s="101"/>
      <c r="O15" s="101"/>
      <c r="P15" s="101"/>
      <c r="Q15" s="101"/>
      <c r="R15" s="101"/>
      <c r="S15" s="101"/>
      <c r="T15" s="101"/>
      <c r="U15" s="101"/>
      <c r="V15" s="101"/>
    </row>
    <row r="16" spans="1:22" ht="17" x14ac:dyDescent="0.2">
      <c r="A16" s="457" t="s">
        <v>273</v>
      </c>
      <c r="B16" s="112" t="s">
        <v>394</v>
      </c>
      <c r="C16" s="330">
        <f>LEAME!E38</f>
        <v>5000</v>
      </c>
      <c r="D16" s="102"/>
      <c r="E16" s="101"/>
      <c r="F16" s="102"/>
      <c r="G16" s="102"/>
      <c r="H16" s="102"/>
      <c r="I16" s="102"/>
      <c r="J16" s="102"/>
      <c r="K16" s="102"/>
      <c r="L16" s="102"/>
      <c r="M16" s="100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45" x14ac:dyDescent="0.2">
      <c r="A17" s="457"/>
      <c r="B17" s="333" t="s">
        <v>52</v>
      </c>
      <c r="C17" s="334" t="str">
        <f>+'Datos Entrada'!H5</f>
        <v>Seu objetivo é apoiar a adaptação da população às mudanças climáticas, especialmente dos grupos vulneráveis.</v>
      </c>
      <c r="D17" s="102"/>
      <c r="E17" s="101"/>
      <c r="F17" s="102"/>
      <c r="G17" s="102"/>
      <c r="H17" s="102"/>
      <c r="I17" s="102"/>
      <c r="J17" s="102"/>
      <c r="K17" s="102"/>
      <c r="L17" s="102"/>
      <c r="M17" s="100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x14ac:dyDescent="0.2">
      <c r="A18" s="457" t="s">
        <v>274</v>
      </c>
      <c r="B18" s="112" t="s">
        <v>64</v>
      </c>
      <c r="C18" s="330" t="s">
        <v>284</v>
      </c>
      <c r="D18" s="102"/>
      <c r="E18" s="101"/>
      <c r="F18" s="102"/>
      <c r="G18" s="102"/>
      <c r="H18" s="102"/>
      <c r="I18" s="102"/>
      <c r="J18" s="102"/>
      <c r="K18" s="102"/>
      <c r="L18" s="102"/>
      <c r="M18" s="100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2" x14ac:dyDescent="0.2">
      <c r="A19" s="457"/>
      <c r="B19" s="112" t="s">
        <v>65</v>
      </c>
      <c r="C19" s="330" t="s">
        <v>282</v>
      </c>
      <c r="D19" s="102"/>
      <c r="E19" s="101"/>
      <c r="F19" s="102"/>
      <c r="G19" s="102"/>
      <c r="H19" s="102"/>
      <c r="I19" s="102"/>
      <c r="J19" s="102"/>
      <c r="K19" s="102"/>
      <c r="L19" s="102"/>
      <c r="M19" s="100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2" ht="20.5" customHeight="1" x14ac:dyDescent="0.2">
      <c r="A20" s="457"/>
      <c r="B20" s="112" t="s">
        <v>36</v>
      </c>
      <c r="C20" s="330" t="s">
        <v>283</v>
      </c>
      <c r="D20" s="102"/>
      <c r="E20" s="101"/>
      <c r="F20" s="102"/>
      <c r="G20" s="102"/>
      <c r="H20" s="102"/>
      <c r="I20" s="102"/>
      <c r="J20" s="102"/>
      <c r="K20" s="102"/>
      <c r="L20" s="102"/>
      <c r="M20" s="100"/>
      <c r="N20" s="101"/>
      <c r="O20" s="101"/>
      <c r="P20" s="101"/>
      <c r="Q20" s="101"/>
      <c r="R20" s="101"/>
      <c r="S20" s="101"/>
      <c r="T20" s="101"/>
      <c r="U20" s="101"/>
      <c r="V20" s="101"/>
    </row>
    <row r="21" spans="1:22" x14ac:dyDescent="0.2">
      <c r="A21" s="457" t="s">
        <v>275</v>
      </c>
      <c r="B21" s="112" t="s">
        <v>7</v>
      </c>
      <c r="C21" s="330" t="s">
        <v>284</v>
      </c>
      <c r="D21" s="102"/>
      <c r="E21" s="101"/>
      <c r="F21" s="102"/>
      <c r="G21" s="102"/>
      <c r="H21" s="102"/>
      <c r="I21" s="102"/>
      <c r="J21" s="102"/>
      <c r="K21" s="102"/>
      <c r="L21" s="102"/>
      <c r="M21" s="100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x14ac:dyDescent="0.2">
      <c r="A22" s="457"/>
      <c r="B22" s="112" t="s">
        <v>6</v>
      </c>
      <c r="C22" s="330" t="s">
        <v>284</v>
      </c>
      <c r="D22" s="102"/>
      <c r="E22" s="101"/>
      <c r="F22" s="102"/>
      <c r="G22" s="102"/>
      <c r="H22" s="102"/>
      <c r="I22" s="102"/>
      <c r="J22" s="102"/>
      <c r="K22" s="102"/>
      <c r="L22" s="102"/>
      <c r="M22" s="100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x14ac:dyDescent="0.2">
      <c r="A23" s="457"/>
      <c r="B23" s="112" t="s">
        <v>5</v>
      </c>
      <c r="C23" s="330" t="s">
        <v>283</v>
      </c>
      <c r="D23" s="102"/>
      <c r="E23" s="101"/>
      <c r="F23" s="102"/>
      <c r="G23" s="102"/>
      <c r="H23" s="102"/>
      <c r="I23" s="102"/>
      <c r="J23" s="102"/>
      <c r="K23" s="102"/>
      <c r="L23" s="102"/>
      <c r="M23" s="100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x14ac:dyDescent="0.2">
      <c r="A24" s="457"/>
      <c r="B24" s="112" t="s">
        <v>4</v>
      </c>
      <c r="C24" s="330" t="s">
        <v>283</v>
      </c>
      <c r="D24" s="102"/>
      <c r="E24" s="101"/>
      <c r="F24" s="102"/>
      <c r="G24" s="102"/>
      <c r="H24" s="102"/>
      <c r="I24" s="102"/>
      <c r="J24" s="102"/>
      <c r="K24" s="102"/>
      <c r="L24" s="102"/>
      <c r="M24" s="100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2">
      <c r="A25" s="458" t="s">
        <v>276</v>
      </c>
      <c r="B25" s="458"/>
      <c r="C25" s="330" t="s">
        <v>281</v>
      </c>
      <c r="D25" s="102"/>
      <c r="E25" s="101"/>
      <c r="F25" s="102"/>
      <c r="G25" s="102"/>
      <c r="H25" s="102"/>
      <c r="I25" s="102"/>
      <c r="J25" s="102"/>
      <c r="K25" s="102"/>
      <c r="L25" s="102"/>
      <c r="M25" s="100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30" x14ac:dyDescent="0.2">
      <c r="A26" s="459" t="s">
        <v>154</v>
      </c>
      <c r="B26" s="112" t="s">
        <v>59</v>
      </c>
      <c r="C26" s="330" t="s">
        <v>283</v>
      </c>
      <c r="D26" s="102"/>
      <c r="E26" s="101"/>
      <c r="F26" s="102"/>
      <c r="G26" s="102"/>
      <c r="H26" s="102"/>
      <c r="I26" s="102"/>
      <c r="J26" s="102"/>
      <c r="K26" s="102"/>
      <c r="L26" s="102"/>
      <c r="M26" s="100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30" x14ac:dyDescent="0.2">
      <c r="A27" s="459"/>
      <c r="B27" s="112" t="s">
        <v>66</v>
      </c>
      <c r="C27" s="330" t="s">
        <v>282</v>
      </c>
      <c r="D27" s="102"/>
      <c r="E27" s="101"/>
      <c r="F27" s="102"/>
      <c r="G27" s="102"/>
      <c r="H27" s="102"/>
      <c r="I27" s="102"/>
      <c r="J27" s="102"/>
      <c r="K27" s="102"/>
      <c r="L27" s="102"/>
      <c r="M27" s="100"/>
      <c r="N27" s="101"/>
      <c r="O27" s="101"/>
      <c r="P27" s="101"/>
      <c r="Q27" s="101"/>
      <c r="R27" s="101"/>
      <c r="S27" s="101"/>
      <c r="T27" s="101"/>
      <c r="U27" s="101"/>
      <c r="V27" s="101"/>
    </row>
    <row r="28" spans="1:22" ht="30" x14ac:dyDescent="0.2">
      <c r="A28" s="457" t="s">
        <v>155</v>
      </c>
      <c r="B28" s="112" t="s">
        <v>60</v>
      </c>
      <c r="C28" s="330" t="s">
        <v>283</v>
      </c>
      <c r="D28" s="102"/>
      <c r="E28" s="101"/>
      <c r="F28" s="102"/>
      <c r="G28" s="102"/>
      <c r="H28" s="102"/>
      <c r="I28" s="102"/>
      <c r="J28" s="102"/>
      <c r="K28" s="102"/>
      <c r="L28" s="102"/>
      <c r="M28" s="100"/>
      <c r="N28" s="101"/>
      <c r="O28" s="101"/>
      <c r="P28" s="101"/>
      <c r="Q28" s="101"/>
      <c r="R28" s="101"/>
      <c r="S28" s="101"/>
      <c r="T28" s="101"/>
      <c r="U28" s="101"/>
      <c r="V28" s="101"/>
    </row>
    <row r="29" spans="1:22" x14ac:dyDescent="0.2">
      <c r="A29" s="457"/>
      <c r="B29" s="112" t="s">
        <v>67</v>
      </c>
      <c r="C29" s="330" t="s">
        <v>282</v>
      </c>
      <c r="D29" s="102"/>
      <c r="E29" s="101"/>
      <c r="F29" s="102"/>
      <c r="G29" s="102"/>
      <c r="H29" s="102"/>
      <c r="I29" s="102"/>
      <c r="J29" s="102"/>
      <c r="K29" s="102"/>
      <c r="L29" s="102"/>
      <c r="M29" s="100"/>
      <c r="N29" s="101"/>
      <c r="O29" s="101"/>
      <c r="P29" s="101"/>
      <c r="Q29" s="101"/>
      <c r="R29" s="101"/>
      <c r="S29" s="101"/>
      <c r="T29" s="101"/>
      <c r="U29" s="101"/>
      <c r="V29" s="101"/>
    </row>
    <row r="30" spans="1:22" ht="45" x14ac:dyDescent="0.2">
      <c r="A30" s="457"/>
      <c r="B30" s="112" t="s">
        <v>63</v>
      </c>
      <c r="C30" s="330" t="s">
        <v>281</v>
      </c>
      <c r="D30" s="102"/>
      <c r="E30" s="101"/>
      <c r="F30" s="102"/>
      <c r="G30" s="102"/>
      <c r="H30" s="102"/>
      <c r="I30" s="102"/>
      <c r="J30" s="102"/>
      <c r="K30" s="102"/>
      <c r="L30" s="102"/>
      <c r="M30" s="100"/>
      <c r="N30" s="101"/>
      <c r="O30" s="101"/>
      <c r="P30" s="101"/>
      <c r="Q30" s="101"/>
      <c r="R30" s="101"/>
      <c r="S30" s="101"/>
      <c r="T30" s="101"/>
      <c r="U30" s="101"/>
      <c r="V30" s="101"/>
    </row>
    <row r="31" spans="1:22" x14ac:dyDescent="0.2">
      <c r="A31" s="457" t="s">
        <v>202</v>
      </c>
      <c r="B31" s="112" t="s">
        <v>57</v>
      </c>
      <c r="C31" s="330" t="s">
        <v>280</v>
      </c>
      <c r="D31" s="102"/>
      <c r="E31" s="101"/>
      <c r="F31" s="102"/>
      <c r="G31" s="102"/>
      <c r="H31" s="102"/>
      <c r="I31" s="102"/>
      <c r="J31" s="102"/>
      <c r="K31" s="102"/>
      <c r="L31" s="102"/>
      <c r="M31" s="100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x14ac:dyDescent="0.2">
      <c r="A32" s="457"/>
      <c r="B32" s="112" t="s">
        <v>58</v>
      </c>
      <c r="C32" s="330" t="str">
        <f>VLOOKUP('Datos Entrada'!$G25,'Auxiliar 2'!$B$19:$C$24,2,0)</f>
        <v>Médio ou parcial</v>
      </c>
      <c r="D32" s="102"/>
      <c r="E32" s="101"/>
      <c r="F32" s="102"/>
      <c r="G32" s="102"/>
      <c r="H32" s="102"/>
      <c r="I32" s="102"/>
      <c r="J32" s="102"/>
      <c r="K32" s="102"/>
      <c r="L32" s="102"/>
      <c r="M32" s="100"/>
      <c r="N32" s="101"/>
      <c r="O32" s="101"/>
      <c r="P32" s="101"/>
      <c r="Q32" s="101"/>
      <c r="R32" s="101"/>
      <c r="S32" s="101"/>
      <c r="T32" s="101"/>
      <c r="U32" s="101"/>
      <c r="V32" s="101"/>
    </row>
    <row r="33" spans="1:22" x14ac:dyDescent="0.2">
      <c r="A33" s="457"/>
      <c r="B33" s="112" t="s">
        <v>61</v>
      </c>
      <c r="C33" s="330" t="s">
        <v>284</v>
      </c>
      <c r="D33" s="102"/>
      <c r="E33" s="101"/>
      <c r="F33" s="102"/>
      <c r="G33" s="102"/>
      <c r="H33" s="102"/>
      <c r="I33" s="102"/>
      <c r="J33" s="102"/>
      <c r="K33" s="102"/>
      <c r="L33" s="102"/>
      <c r="M33" s="100"/>
      <c r="N33" s="101"/>
      <c r="O33" s="101"/>
      <c r="P33" s="101"/>
      <c r="Q33" s="101"/>
      <c r="R33" s="101"/>
      <c r="S33" s="101"/>
      <c r="T33" s="101"/>
      <c r="U33" s="101"/>
      <c r="V33" s="101"/>
    </row>
    <row r="34" spans="1:22" x14ac:dyDescent="0.2">
      <c r="A34" s="457"/>
      <c r="B34" s="112" t="s">
        <v>62</v>
      </c>
      <c r="C34" s="330" t="str">
        <f>VLOOKUP('Datos Entrada'!$G27,'Auxiliar 2'!$B$19:$C$24,2,0)</f>
        <v>Baixo ou baixo</v>
      </c>
      <c r="D34" s="102"/>
      <c r="E34" s="101"/>
      <c r="F34" s="102"/>
      <c r="G34" s="102"/>
      <c r="H34" s="102"/>
      <c r="I34" s="102"/>
      <c r="J34" s="102"/>
      <c r="K34" s="102"/>
      <c r="L34" s="102"/>
      <c r="M34" s="100"/>
      <c r="N34" s="101"/>
      <c r="O34" s="101"/>
      <c r="P34" s="101"/>
      <c r="Q34" s="101"/>
      <c r="R34" s="101"/>
      <c r="S34" s="101"/>
      <c r="T34" s="101"/>
      <c r="U34" s="101"/>
      <c r="V34" s="101"/>
    </row>
    <row r="35" spans="1:22" x14ac:dyDescent="0.2">
      <c r="A35" s="454" t="s">
        <v>277</v>
      </c>
      <c r="B35" s="454"/>
      <c r="C35" s="454"/>
      <c r="D35" s="102"/>
      <c r="E35" s="101"/>
      <c r="F35" s="102"/>
      <c r="G35" s="102"/>
      <c r="H35" s="102"/>
      <c r="I35" s="102"/>
      <c r="J35" s="102"/>
      <c r="K35" s="102"/>
      <c r="L35" s="102"/>
      <c r="M35" s="100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x14ac:dyDescent="0.2">
      <c r="A36" s="457" t="s">
        <v>278</v>
      </c>
      <c r="B36" s="112" t="str">
        <f>+'ODS Analisis'!B6</f>
        <v>Luta contra a pobreza</v>
      </c>
      <c r="C36" s="330" t="str">
        <f>VLOOKUP('ODS Analisis'!$E6,'Auxiliar 2'!$B$26:$C$27,2,0)</f>
        <v>Vinculado</v>
      </c>
      <c r="D36" s="102"/>
      <c r="E36" s="101"/>
      <c r="F36" s="102"/>
      <c r="G36" s="102"/>
      <c r="H36" s="102"/>
      <c r="I36" s="102"/>
      <c r="J36" s="102"/>
      <c r="K36" s="102"/>
      <c r="L36" s="102"/>
      <c r="M36" s="100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x14ac:dyDescent="0.2">
      <c r="A37" s="457"/>
      <c r="B37" s="112" t="str">
        <f>+'ODS Analisis'!B7</f>
        <v>Combate à fome</v>
      </c>
      <c r="C37" s="330" t="str">
        <f>VLOOKUP('ODS Analisis'!$E7,'Auxiliar 2'!$B$26:$C$27,2,0)</f>
        <v>Vinculado</v>
      </c>
      <c r="D37" s="102"/>
      <c r="E37" s="101"/>
      <c r="F37" s="102"/>
      <c r="G37" s="102"/>
      <c r="H37" s="102"/>
      <c r="I37" s="102"/>
      <c r="J37" s="102"/>
      <c r="K37" s="102"/>
      <c r="L37" s="102"/>
      <c r="M37" s="100"/>
      <c r="N37" s="101"/>
      <c r="O37" s="101"/>
      <c r="P37" s="101"/>
      <c r="Q37" s="101"/>
      <c r="R37" s="101"/>
      <c r="S37" s="101"/>
      <c r="T37" s="101"/>
      <c r="U37" s="101"/>
      <c r="V37" s="101"/>
    </row>
    <row r="38" spans="1:22" x14ac:dyDescent="0.2">
      <c r="A38" s="457"/>
      <c r="B38" s="112" t="str">
        <f>+'ODS Analisis'!B8</f>
        <v>Bem-estar para todos</v>
      </c>
      <c r="C38" s="330" t="str">
        <f>VLOOKUP('ODS Analisis'!$E8,'Auxiliar 2'!$B$26:$C$27,2,0)</f>
        <v>Vinculado</v>
      </c>
      <c r="D38" s="102"/>
      <c r="E38" s="101"/>
      <c r="F38" s="102"/>
      <c r="G38" s="102"/>
      <c r="H38" s="102"/>
      <c r="I38" s="102"/>
      <c r="J38" s="102"/>
      <c r="K38" s="102"/>
      <c r="L38" s="102"/>
      <c r="M38" s="100"/>
      <c r="N38" s="101"/>
      <c r="O38" s="101"/>
      <c r="P38" s="101"/>
      <c r="Q38" s="101"/>
      <c r="R38" s="101"/>
      <c r="S38" s="101"/>
      <c r="T38" s="101"/>
      <c r="U38" s="101"/>
      <c r="V38" s="101"/>
    </row>
    <row r="39" spans="1:22" x14ac:dyDescent="0.2">
      <c r="A39" s="457"/>
      <c r="B39" s="112" t="str">
        <f>+'ODS Analisis'!B9</f>
        <v>Educação de qualidade</v>
      </c>
      <c r="C39" s="330" t="str">
        <f>VLOOKUP('ODS Analisis'!$E9,'Auxiliar 2'!$B$26:$C$27,2,0)</f>
        <v>Vinculado</v>
      </c>
      <c r="D39" s="102"/>
      <c r="E39" s="101"/>
      <c r="F39" s="102"/>
      <c r="G39" s="102"/>
      <c r="H39" s="102"/>
      <c r="I39" s="102"/>
      <c r="J39" s="102"/>
      <c r="K39" s="102"/>
      <c r="L39" s="102"/>
      <c r="M39" s="100"/>
      <c r="N39" s="101"/>
      <c r="O39" s="101"/>
      <c r="P39" s="101"/>
      <c r="Q39" s="101"/>
      <c r="R39" s="101"/>
      <c r="S39" s="101"/>
      <c r="T39" s="101"/>
      <c r="U39" s="101"/>
      <c r="V39" s="101"/>
    </row>
    <row r="40" spans="1:22" ht="30" x14ac:dyDescent="0.2">
      <c r="A40" s="457"/>
      <c r="B40" s="112" t="str">
        <f>+'ODS Analisis'!B10</f>
        <v>Igualdade de gênero e oportunidades iguais</v>
      </c>
      <c r="C40" s="330" t="str">
        <f>VLOOKUP('ODS Analisis'!$E10,'Auxiliar 2'!$B$26:$C$27,2,0)</f>
        <v>Vinculado</v>
      </c>
      <c r="D40" s="102"/>
      <c r="E40" s="101"/>
      <c r="F40" s="102"/>
      <c r="G40" s="102"/>
      <c r="H40" s="102"/>
      <c r="I40" s="102"/>
      <c r="J40" s="102"/>
      <c r="K40" s="102"/>
      <c r="L40" s="102"/>
      <c r="M40" s="100"/>
      <c r="N40" s="101"/>
      <c r="O40" s="101"/>
      <c r="P40" s="101"/>
      <c r="Q40" s="101"/>
      <c r="R40" s="101"/>
      <c r="S40" s="101"/>
      <c r="T40" s="101"/>
      <c r="U40" s="101"/>
      <c r="V40" s="101"/>
    </row>
    <row r="41" spans="1:22" ht="30" x14ac:dyDescent="0.2">
      <c r="A41" s="457"/>
      <c r="B41" s="112" t="str">
        <f>+'ODS Analisis'!B11</f>
        <v>Acesso a água potável e saneamento básico</v>
      </c>
      <c r="C41" s="330" t="s">
        <v>279</v>
      </c>
      <c r="D41" s="102"/>
      <c r="E41" s="101"/>
      <c r="F41" s="102"/>
      <c r="G41" s="102"/>
      <c r="H41" s="102"/>
      <c r="I41" s="102"/>
      <c r="J41" s="102"/>
      <c r="K41" s="102"/>
      <c r="L41" s="102"/>
      <c r="M41" s="100"/>
      <c r="N41" s="101"/>
      <c r="O41" s="101"/>
      <c r="P41" s="101"/>
      <c r="Q41" s="101"/>
      <c r="R41" s="101"/>
      <c r="S41" s="101"/>
      <c r="T41" s="101"/>
      <c r="U41" s="101"/>
      <c r="V41" s="101"/>
    </row>
    <row r="42" spans="1:22" x14ac:dyDescent="0.2">
      <c r="A42" s="457"/>
      <c r="B42" s="112" t="str">
        <f>+'ODS Analisis'!B12</f>
        <v>Energia limpa e acessível</v>
      </c>
      <c r="C42" s="330" t="s">
        <v>279</v>
      </c>
      <c r="D42" s="102"/>
      <c r="E42" s="101"/>
      <c r="F42" s="102"/>
      <c r="G42" s="102"/>
      <c r="H42" s="102"/>
      <c r="I42" s="102"/>
      <c r="J42" s="102"/>
      <c r="K42" s="102"/>
      <c r="L42" s="102"/>
      <c r="M42" s="100"/>
      <c r="N42" s="101"/>
      <c r="O42" s="101"/>
      <c r="P42" s="101"/>
      <c r="Q42" s="101"/>
      <c r="R42" s="101"/>
      <c r="S42" s="101"/>
      <c r="T42" s="101"/>
      <c r="U42" s="101"/>
      <c r="V42" s="101"/>
    </row>
    <row r="43" spans="1:22" ht="30" x14ac:dyDescent="0.2">
      <c r="A43" s="457"/>
      <c r="B43" s="112" t="str">
        <f>+'ODS Analisis'!B13</f>
        <v>Trabalho decente e crescimento econômico</v>
      </c>
      <c r="C43" s="330" t="s">
        <v>279</v>
      </c>
      <c r="D43" s="102"/>
      <c r="E43" s="101"/>
      <c r="F43" s="102"/>
      <c r="G43" s="102"/>
      <c r="H43" s="102"/>
      <c r="I43" s="102"/>
      <c r="J43" s="102"/>
      <c r="K43" s="102"/>
      <c r="L43" s="102"/>
      <c r="M43" s="100"/>
      <c r="N43" s="101"/>
      <c r="O43" s="101"/>
      <c r="P43" s="101"/>
      <c r="Q43" s="101"/>
      <c r="R43" s="101"/>
      <c r="S43" s="101"/>
      <c r="T43" s="101"/>
      <c r="U43" s="101"/>
      <c r="V43" s="101"/>
    </row>
    <row r="44" spans="1:22" x14ac:dyDescent="0.2">
      <c r="A44" s="457"/>
      <c r="B44" s="112" t="str">
        <f>+'ODS Analisis'!B14</f>
        <v xml:space="preserve">Indústria, inovação e infraestrutura </v>
      </c>
      <c r="C44" s="330" t="s">
        <v>279</v>
      </c>
      <c r="D44" s="102"/>
      <c r="E44" s="101"/>
      <c r="F44" s="102"/>
      <c r="G44" s="102"/>
      <c r="H44" s="102"/>
      <c r="I44" s="102"/>
      <c r="J44" s="102"/>
      <c r="K44" s="102"/>
      <c r="L44" s="102"/>
      <c r="M44" s="100"/>
      <c r="N44" s="101"/>
      <c r="O44" s="101"/>
      <c r="P44" s="101"/>
      <c r="Q44" s="101"/>
      <c r="R44" s="101"/>
      <c r="S44" s="101"/>
      <c r="T44" s="101"/>
      <c r="U44" s="101"/>
      <c r="V44" s="101"/>
    </row>
    <row r="45" spans="1:22" ht="30" x14ac:dyDescent="0.2">
      <c r="A45" s="457"/>
      <c r="B45" s="112" t="str">
        <f>+'ODS Analisis'!B15</f>
        <v>Reduzir a desigualdade dentro dos países e entre eles.</v>
      </c>
      <c r="C45" s="330" t="str">
        <f>VLOOKUP('ODS Analisis'!$E15,'Auxiliar 2'!$B$26:$C$27,2,0)</f>
        <v>Vinculado</v>
      </c>
      <c r="D45" s="102"/>
      <c r="E45" s="101"/>
      <c r="F45" s="102"/>
      <c r="G45" s="102"/>
      <c r="H45" s="102"/>
      <c r="I45" s="102"/>
      <c r="J45" s="102"/>
      <c r="K45" s="102"/>
      <c r="L45" s="102"/>
      <c r="M45" s="100"/>
      <c r="N45" s="101"/>
      <c r="O45" s="101"/>
      <c r="P45" s="101"/>
      <c r="Q45" s="101"/>
      <c r="R45" s="101"/>
      <c r="S45" s="101"/>
      <c r="T45" s="101"/>
      <c r="U45" s="101"/>
      <c r="V45" s="101"/>
    </row>
    <row r="46" spans="1:22" ht="30" x14ac:dyDescent="0.2">
      <c r="A46" s="457"/>
      <c r="B46" s="112" t="str">
        <f>+'ODS Analisis'!B16</f>
        <v>Cidades e comunidades sustentáveis</v>
      </c>
      <c r="C46" s="330" t="s">
        <v>279</v>
      </c>
      <c r="D46" s="102"/>
      <c r="E46" s="101"/>
      <c r="F46" s="102"/>
      <c r="G46" s="102"/>
      <c r="H46" s="102"/>
      <c r="I46" s="102"/>
      <c r="J46" s="102"/>
      <c r="K46" s="102"/>
      <c r="L46" s="102"/>
      <c r="M46" s="100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 x14ac:dyDescent="0.2">
      <c r="A47" s="457"/>
      <c r="B47" s="112" t="str">
        <f>+'ODS Analisis'!B17</f>
        <v>Produção e consumo responsáveis</v>
      </c>
      <c r="C47" s="330" t="s">
        <v>279</v>
      </c>
      <c r="D47" s="102"/>
      <c r="E47" s="101"/>
      <c r="F47" s="102"/>
      <c r="G47" s="102"/>
      <c r="H47" s="102"/>
      <c r="I47" s="102"/>
      <c r="J47" s="102"/>
      <c r="K47" s="102"/>
      <c r="L47" s="102"/>
      <c r="M47" s="100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 x14ac:dyDescent="0.2">
      <c r="A48" s="457"/>
      <c r="B48" s="112" t="str">
        <f>+'ODS Analisis'!B18</f>
        <v>Ações climáticas</v>
      </c>
      <c r="C48" s="330" t="str">
        <f>VLOOKUP('ODS Analisis'!$E18,'Auxiliar 2'!$B$26:$C$27,2,0)</f>
        <v>Vinculado</v>
      </c>
      <c r="D48" s="102"/>
      <c r="E48" s="101"/>
      <c r="F48" s="102"/>
      <c r="G48" s="102"/>
      <c r="H48" s="102"/>
      <c r="I48" s="102"/>
      <c r="J48" s="102"/>
      <c r="K48" s="102"/>
      <c r="L48" s="102"/>
      <c r="M48" s="100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x14ac:dyDescent="0.2">
      <c r="A49" s="457"/>
      <c r="B49" s="112" t="str">
        <f>+'ODS Analisis'!B19</f>
        <v>Recursos marinhos</v>
      </c>
      <c r="C49" s="330" t="s">
        <v>279</v>
      </c>
      <c r="D49" s="102"/>
      <c r="E49" s="101"/>
      <c r="F49" s="102"/>
      <c r="G49" s="102"/>
      <c r="H49" s="102"/>
      <c r="I49" s="102"/>
      <c r="J49" s="102"/>
      <c r="K49" s="102"/>
      <c r="L49" s="102"/>
      <c r="M49" s="100"/>
      <c r="N49" s="101"/>
      <c r="O49" s="101"/>
      <c r="P49" s="101"/>
      <c r="Q49" s="101"/>
      <c r="R49" s="101"/>
      <c r="S49" s="101"/>
      <c r="T49" s="101"/>
      <c r="U49" s="101"/>
      <c r="V49" s="101"/>
    </row>
    <row r="50" spans="1:22" x14ac:dyDescent="0.2">
      <c r="A50" s="457"/>
      <c r="B50" s="112" t="str">
        <f>+'ODS Analisis'!B20</f>
        <v>Vida dos ecossistemas terrestres</v>
      </c>
      <c r="C50" s="330" t="str">
        <f>VLOOKUP('ODS Analisis'!$E20,'Auxiliar 2'!$B$26:$C$27,2,0)</f>
        <v>Vinculado</v>
      </c>
      <c r="D50" s="102"/>
      <c r="E50" s="101"/>
      <c r="F50" s="102"/>
      <c r="G50" s="102"/>
      <c r="H50" s="102"/>
      <c r="I50" s="102"/>
      <c r="J50" s="102"/>
      <c r="K50" s="102"/>
      <c r="L50" s="102"/>
      <c r="M50" s="100"/>
      <c r="N50" s="101"/>
      <c r="O50" s="101"/>
      <c r="P50" s="101"/>
      <c r="Q50" s="101"/>
      <c r="R50" s="101"/>
      <c r="S50" s="101"/>
      <c r="T50" s="101"/>
      <c r="U50" s="101"/>
      <c r="V50" s="101"/>
    </row>
    <row r="51" spans="1:22" x14ac:dyDescent="0.2">
      <c r="A51" s="457"/>
      <c r="B51" s="112" t="str">
        <f>+'ODS Analisis'!B21</f>
        <v>Paz, justiça e instituições sólidas</v>
      </c>
      <c r="C51" s="330" t="str">
        <f>VLOOKUP('ODS Analisis'!$E21,'Auxiliar 2'!$B$26:$C$27,2,0)</f>
        <v>Vinculado</v>
      </c>
      <c r="D51" s="102"/>
      <c r="E51" s="101"/>
      <c r="F51" s="102"/>
      <c r="G51" s="102"/>
      <c r="H51" s="102"/>
      <c r="I51" s="102"/>
      <c r="J51" s="102"/>
      <c r="K51" s="102"/>
      <c r="L51" s="102"/>
      <c r="M51" s="100"/>
      <c r="N51" s="101"/>
      <c r="O51" s="101"/>
      <c r="P51" s="101"/>
      <c r="Q51" s="101"/>
      <c r="R51" s="101"/>
      <c r="S51" s="101"/>
      <c r="T51" s="101"/>
      <c r="U51" s="101"/>
      <c r="V51" s="101"/>
    </row>
    <row r="52" spans="1:22" x14ac:dyDescent="0.2">
      <c r="A52" s="457"/>
      <c r="B52" s="112" t="str">
        <f>+'ODS Analisis'!B22</f>
        <v>Parceria para atingir os objetivos</v>
      </c>
      <c r="C52" s="330" t="s">
        <v>279</v>
      </c>
      <c r="D52" s="102"/>
      <c r="E52" s="101"/>
      <c r="F52" s="102"/>
      <c r="G52" s="102"/>
      <c r="H52" s="102"/>
      <c r="I52" s="102"/>
      <c r="J52" s="102"/>
      <c r="K52" s="102"/>
      <c r="L52" s="102"/>
      <c r="M52" s="100"/>
      <c r="N52" s="101"/>
      <c r="O52" s="101"/>
      <c r="P52" s="101"/>
      <c r="Q52" s="101"/>
      <c r="R52" s="101"/>
      <c r="S52" s="101"/>
      <c r="T52" s="101"/>
      <c r="U52" s="101"/>
      <c r="V52" s="101"/>
    </row>
    <row r="53" spans="1:22" x14ac:dyDescent="0.2">
      <c r="A53" s="111"/>
      <c r="B53" s="111"/>
      <c r="C53" s="100"/>
      <c r="D53" s="102"/>
      <c r="E53" s="101"/>
      <c r="F53" s="102"/>
      <c r="G53" s="102"/>
      <c r="H53" s="102"/>
      <c r="I53" s="102"/>
      <c r="J53" s="102"/>
      <c r="K53" s="102"/>
      <c r="L53" s="102"/>
      <c r="M53" s="100"/>
      <c r="N53" s="101"/>
      <c r="O53" s="101"/>
      <c r="P53" s="101"/>
      <c r="Q53" s="101"/>
      <c r="R53" s="101"/>
      <c r="S53" s="101"/>
      <c r="T53" s="101"/>
      <c r="U53" s="101"/>
      <c r="V53" s="101"/>
    </row>
  </sheetData>
  <mergeCells count="16">
    <mergeCell ref="A36:A52"/>
    <mergeCell ref="A35:C35"/>
    <mergeCell ref="A15:C15"/>
    <mergeCell ref="A12:C12"/>
    <mergeCell ref="A9:C9"/>
    <mergeCell ref="A16:A17"/>
    <mergeCell ref="A18:A20"/>
    <mergeCell ref="A25:B25"/>
    <mergeCell ref="A26:A27"/>
    <mergeCell ref="A28:A30"/>
    <mergeCell ref="A21:A24"/>
    <mergeCell ref="A6:C6"/>
    <mergeCell ref="A4:C4"/>
    <mergeCell ref="A2:C2"/>
    <mergeCell ref="A1:C1"/>
    <mergeCell ref="A31:A34"/>
  </mergeCells>
  <pageMargins left="0.7" right="0.7" top="0.75" bottom="0.75" header="0" footer="0"/>
  <pageSetup paperSize="9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67"/>
  <sheetViews>
    <sheetView workbookViewId="0">
      <selection activeCell="J10" sqref="J10"/>
    </sheetView>
  </sheetViews>
  <sheetFormatPr baseColWidth="10" defaultRowHeight="15" x14ac:dyDescent="0.2"/>
  <cols>
    <col min="1" max="1" width="3.33203125" customWidth="1"/>
    <col min="2" max="2" width="19.83203125" customWidth="1"/>
    <col min="3" max="3" width="9.33203125" style="3" customWidth="1"/>
    <col min="4" max="4" width="17.33203125" customWidth="1"/>
    <col min="5" max="5" width="33.83203125" customWidth="1"/>
    <col min="6" max="6" width="25.6640625" customWidth="1"/>
    <col min="7" max="7" width="29.6640625" customWidth="1"/>
    <col min="8" max="8" width="26.33203125" customWidth="1"/>
  </cols>
  <sheetData>
    <row r="1" spans="2:8" ht="45" customHeight="1" x14ac:dyDescent="0.2">
      <c r="F1" s="275" t="s">
        <v>37</v>
      </c>
      <c r="G1" s="276" t="s">
        <v>322</v>
      </c>
      <c r="H1" s="199" t="s">
        <v>38</v>
      </c>
    </row>
    <row r="2" spans="2:8" ht="16" thickBot="1" x14ac:dyDescent="0.25">
      <c r="B2" s="430" t="s">
        <v>110</v>
      </c>
      <c r="C2" s="409" t="s">
        <v>304</v>
      </c>
      <c r="D2" s="409" t="s">
        <v>305</v>
      </c>
      <c r="E2" s="425" t="s">
        <v>306</v>
      </c>
      <c r="F2" s="190" t="s">
        <v>307</v>
      </c>
      <c r="G2" s="190" t="s">
        <v>307</v>
      </c>
      <c r="H2" s="272" t="s">
        <v>307</v>
      </c>
    </row>
    <row r="3" spans="2:8" ht="49" thickBot="1" x14ac:dyDescent="0.25">
      <c r="B3" s="431"/>
      <c r="C3" s="410"/>
      <c r="D3" s="410"/>
      <c r="E3" s="426"/>
      <c r="F3" s="273" t="s">
        <v>308</v>
      </c>
      <c r="G3" s="273" t="s">
        <v>308</v>
      </c>
      <c r="H3" s="274" t="s">
        <v>308</v>
      </c>
    </row>
    <row r="4" spans="2:8" x14ac:dyDescent="0.2">
      <c r="B4" s="415"/>
      <c r="C4" s="416">
        <v>1</v>
      </c>
      <c r="D4" s="417" t="s">
        <v>150</v>
      </c>
      <c r="E4" s="17" t="s">
        <v>320</v>
      </c>
      <c r="F4" s="18">
        <v>0.5</v>
      </c>
      <c r="G4" s="18">
        <v>0.5</v>
      </c>
      <c r="H4" s="265">
        <v>0.5</v>
      </c>
    </row>
    <row r="5" spans="2:8" x14ac:dyDescent="0.2">
      <c r="B5" s="411"/>
      <c r="C5" s="412"/>
      <c r="D5" s="414"/>
      <c r="E5" s="19" t="s">
        <v>321</v>
      </c>
      <c r="F5" s="21">
        <v>0.5</v>
      </c>
      <c r="G5" s="21">
        <v>0.5</v>
      </c>
      <c r="H5" s="266">
        <v>0.5</v>
      </c>
    </row>
    <row r="6" spans="2:8" x14ac:dyDescent="0.2">
      <c r="B6" s="187" t="s">
        <v>301</v>
      </c>
      <c r="C6" s="20"/>
      <c r="D6" s="19"/>
      <c r="E6" s="19"/>
      <c r="F6" s="19"/>
      <c r="G6" s="19"/>
      <c r="H6" s="267"/>
    </row>
    <row r="7" spans="2:8" x14ac:dyDescent="0.2">
      <c r="B7" s="187" t="s">
        <v>302</v>
      </c>
      <c r="C7" s="20"/>
      <c r="D7" s="19"/>
      <c r="E7" s="19"/>
      <c r="F7" s="21">
        <v>0.2</v>
      </c>
      <c r="G7" s="21">
        <v>0.2</v>
      </c>
      <c r="H7" s="266">
        <v>0.2</v>
      </c>
    </row>
    <row r="8" spans="2:8" x14ac:dyDescent="0.2">
      <c r="B8" s="183" t="s">
        <v>303</v>
      </c>
      <c r="C8" s="23"/>
      <c r="D8" s="22"/>
      <c r="E8" s="22"/>
      <c r="F8" s="22"/>
      <c r="G8" s="22"/>
      <c r="H8" s="268"/>
    </row>
    <row r="9" spans="2:8" ht="32" x14ac:dyDescent="0.2">
      <c r="B9" s="277"/>
      <c r="C9" s="278">
        <v>2</v>
      </c>
      <c r="D9" s="471" t="s">
        <v>151</v>
      </c>
      <c r="E9" s="279" t="s">
        <v>319</v>
      </c>
      <c r="F9" s="280">
        <v>0.2</v>
      </c>
      <c r="G9" s="280">
        <v>0.2</v>
      </c>
      <c r="H9" s="281">
        <v>0.2</v>
      </c>
    </row>
    <row r="10" spans="2:8" ht="32" x14ac:dyDescent="0.2">
      <c r="B10" s="282"/>
      <c r="C10" s="283"/>
      <c r="D10" s="472"/>
      <c r="E10" s="279" t="s">
        <v>318</v>
      </c>
      <c r="F10" s="284">
        <v>0.4</v>
      </c>
      <c r="G10" s="284">
        <v>0.4</v>
      </c>
      <c r="H10" s="285">
        <v>0.4</v>
      </c>
    </row>
    <row r="11" spans="2:8" x14ac:dyDescent="0.2">
      <c r="B11" s="282"/>
      <c r="C11" s="283"/>
      <c r="D11" s="286"/>
      <c r="E11" s="286" t="s">
        <v>317</v>
      </c>
      <c r="F11" s="284">
        <v>0.4</v>
      </c>
      <c r="G11" s="284">
        <v>0.4</v>
      </c>
      <c r="H11" s="285">
        <v>0.4</v>
      </c>
    </row>
    <row r="12" spans="2:8" x14ac:dyDescent="0.2">
      <c r="B12" s="282" t="s">
        <v>301</v>
      </c>
      <c r="C12" s="283"/>
      <c r="D12" s="286"/>
      <c r="E12" s="286"/>
      <c r="F12" s="283"/>
      <c r="G12" s="283"/>
      <c r="H12" s="249"/>
    </row>
    <row r="13" spans="2:8" x14ac:dyDescent="0.2">
      <c r="B13" s="282" t="s">
        <v>302</v>
      </c>
      <c r="C13" s="283"/>
      <c r="D13" s="286"/>
      <c r="E13" s="286"/>
      <c r="F13" s="284">
        <v>0.2</v>
      </c>
      <c r="G13" s="284">
        <v>0.2</v>
      </c>
      <c r="H13" s="285">
        <v>0.2</v>
      </c>
    </row>
    <row r="14" spans="2:8" x14ac:dyDescent="0.2">
      <c r="B14" s="287" t="s">
        <v>303</v>
      </c>
      <c r="C14" s="288"/>
      <c r="D14" s="289"/>
      <c r="E14" s="289"/>
      <c r="F14" s="288"/>
      <c r="G14" s="288"/>
      <c r="H14" s="290"/>
    </row>
    <row r="15" spans="2:8" ht="30" customHeight="1" x14ac:dyDescent="0.2">
      <c r="B15" s="411"/>
      <c r="C15" s="412">
        <v>3</v>
      </c>
      <c r="D15" s="413" t="s">
        <v>152</v>
      </c>
      <c r="E15" s="33" t="s">
        <v>314</v>
      </c>
      <c r="F15" s="34">
        <v>0.15</v>
      </c>
      <c r="G15" s="34">
        <v>0.15</v>
      </c>
      <c r="H15" s="269">
        <v>0.1</v>
      </c>
    </row>
    <row r="16" spans="2:8" x14ac:dyDescent="0.2">
      <c r="B16" s="411"/>
      <c r="C16" s="412"/>
      <c r="D16" s="414"/>
      <c r="E16" s="19" t="s">
        <v>315</v>
      </c>
      <c r="F16" s="21">
        <v>0.25</v>
      </c>
      <c r="G16" s="21">
        <v>0.25</v>
      </c>
      <c r="H16" s="266">
        <v>0.25</v>
      </c>
    </row>
    <row r="17" spans="2:8" x14ac:dyDescent="0.2">
      <c r="B17" s="411"/>
      <c r="C17" s="412"/>
      <c r="D17" s="414"/>
      <c r="E17" s="19" t="s">
        <v>316</v>
      </c>
      <c r="F17" s="21">
        <v>0.1</v>
      </c>
      <c r="G17" s="21">
        <v>0.1</v>
      </c>
      <c r="H17" s="266">
        <v>0.1</v>
      </c>
    </row>
    <row r="18" spans="2:8" x14ac:dyDescent="0.2">
      <c r="B18" s="397"/>
      <c r="C18" s="399"/>
      <c r="D18" s="414"/>
      <c r="E18" s="19" t="s">
        <v>141</v>
      </c>
      <c r="F18" s="21">
        <v>0.3</v>
      </c>
      <c r="G18" s="21">
        <v>0.3</v>
      </c>
      <c r="H18" s="266">
        <v>0.25</v>
      </c>
    </row>
    <row r="19" spans="2:8" ht="48" x14ac:dyDescent="0.2">
      <c r="B19" s="187"/>
      <c r="C19" s="20"/>
      <c r="D19" s="19" t="s">
        <v>153</v>
      </c>
      <c r="E19" s="35" t="s">
        <v>313</v>
      </c>
      <c r="F19" s="21">
        <v>0.2</v>
      </c>
      <c r="G19" s="21">
        <v>0.2</v>
      </c>
      <c r="H19" s="266">
        <v>0.3</v>
      </c>
    </row>
    <row r="20" spans="2:8" x14ac:dyDescent="0.2">
      <c r="B20" s="187" t="s">
        <v>301</v>
      </c>
      <c r="C20" s="20"/>
      <c r="D20" s="19"/>
      <c r="E20" s="19"/>
      <c r="F20" s="19"/>
      <c r="G20" s="19"/>
      <c r="H20" s="267"/>
    </row>
    <row r="21" spans="2:8" x14ac:dyDescent="0.2">
      <c r="B21" s="187" t="s">
        <v>302</v>
      </c>
      <c r="C21" s="20"/>
      <c r="D21" s="19"/>
      <c r="E21" s="19"/>
      <c r="F21" s="21">
        <v>0.2</v>
      </c>
      <c r="G21" s="21">
        <v>0.2</v>
      </c>
      <c r="H21" s="266">
        <v>0.2</v>
      </c>
    </row>
    <row r="22" spans="2:8" x14ac:dyDescent="0.2">
      <c r="B22" s="183" t="s">
        <v>303</v>
      </c>
      <c r="C22" s="23"/>
      <c r="D22" s="22"/>
      <c r="E22" s="22"/>
      <c r="F22" s="22"/>
      <c r="G22" s="22"/>
      <c r="H22" s="268"/>
    </row>
    <row r="23" spans="2:8" ht="32" x14ac:dyDescent="0.2">
      <c r="B23" s="467"/>
      <c r="C23" s="469">
        <v>4</v>
      </c>
      <c r="D23" s="473" t="s">
        <v>299</v>
      </c>
      <c r="E23" s="291" t="s">
        <v>312</v>
      </c>
      <c r="F23" s="280">
        <v>0.5</v>
      </c>
      <c r="G23" s="280">
        <v>0.5</v>
      </c>
      <c r="H23" s="281">
        <v>0.5</v>
      </c>
    </row>
    <row r="24" spans="2:8" ht="32" x14ac:dyDescent="0.2">
      <c r="B24" s="468"/>
      <c r="C24" s="470"/>
      <c r="D24" s="474"/>
      <c r="E24" s="279" t="s">
        <v>311</v>
      </c>
      <c r="F24" s="284">
        <v>0.5</v>
      </c>
      <c r="G24" s="284">
        <v>0.5</v>
      </c>
      <c r="H24" s="285">
        <v>0.5</v>
      </c>
    </row>
    <row r="25" spans="2:8" x14ac:dyDescent="0.2">
      <c r="B25" s="282" t="s">
        <v>301</v>
      </c>
      <c r="C25" s="283"/>
      <c r="D25" s="286"/>
      <c r="E25" s="279"/>
      <c r="F25" s="284"/>
      <c r="G25" s="284"/>
      <c r="H25" s="285"/>
    </row>
    <row r="26" spans="2:8" x14ac:dyDescent="0.2">
      <c r="B26" s="282" t="s">
        <v>302</v>
      </c>
      <c r="C26" s="283"/>
      <c r="D26" s="286"/>
      <c r="E26" s="286"/>
      <c r="F26" s="284">
        <v>0.1</v>
      </c>
      <c r="G26" s="284">
        <v>0.1</v>
      </c>
      <c r="H26" s="285">
        <v>0.1</v>
      </c>
    </row>
    <row r="27" spans="2:8" x14ac:dyDescent="0.2">
      <c r="B27" s="287" t="s">
        <v>303</v>
      </c>
      <c r="C27" s="288"/>
      <c r="D27" s="289"/>
      <c r="E27" s="289"/>
      <c r="F27" s="289"/>
      <c r="G27" s="289"/>
      <c r="H27" s="292"/>
    </row>
    <row r="28" spans="2:8" ht="32" x14ac:dyDescent="0.2">
      <c r="B28" s="397"/>
      <c r="C28" s="399">
        <v>5</v>
      </c>
      <c r="D28" s="399" t="s">
        <v>309</v>
      </c>
      <c r="E28" s="36" t="s">
        <v>298</v>
      </c>
      <c r="F28" s="34">
        <v>0.1</v>
      </c>
      <c r="G28" s="34">
        <v>0.1</v>
      </c>
      <c r="H28" s="269">
        <v>0.6</v>
      </c>
    </row>
    <row r="29" spans="2:8" x14ac:dyDescent="0.2">
      <c r="B29" s="398"/>
      <c r="C29" s="400"/>
      <c r="D29" s="400"/>
      <c r="E29" s="19" t="s">
        <v>297</v>
      </c>
      <c r="F29" s="21">
        <v>0.3</v>
      </c>
      <c r="G29" s="21">
        <v>0.3</v>
      </c>
      <c r="H29" s="266">
        <v>0.2</v>
      </c>
    </row>
    <row r="30" spans="2:8" ht="48" x14ac:dyDescent="0.2">
      <c r="B30" s="398"/>
      <c r="C30" s="400"/>
      <c r="D30" s="400"/>
      <c r="E30" s="35" t="s">
        <v>296</v>
      </c>
      <c r="F30" s="21">
        <v>0.6</v>
      </c>
      <c r="G30" s="21">
        <v>0.6</v>
      </c>
      <c r="H30" s="266">
        <v>0.2</v>
      </c>
    </row>
    <row r="31" spans="2:8" x14ac:dyDescent="0.2">
      <c r="B31" s="187" t="s">
        <v>301</v>
      </c>
      <c r="C31" s="20"/>
      <c r="D31" s="19"/>
      <c r="E31" s="19"/>
      <c r="F31" s="20"/>
      <c r="G31" s="20"/>
      <c r="H31" s="270"/>
    </row>
    <row r="32" spans="2:8" x14ac:dyDescent="0.2">
      <c r="B32" s="187" t="s">
        <v>302</v>
      </c>
      <c r="C32" s="20"/>
      <c r="D32" s="19"/>
      <c r="E32" s="19"/>
      <c r="F32" s="21">
        <v>0.2</v>
      </c>
      <c r="G32" s="21">
        <v>0.2</v>
      </c>
      <c r="H32" s="266">
        <v>0.2</v>
      </c>
    </row>
    <row r="33" spans="2:8" x14ac:dyDescent="0.2">
      <c r="B33" s="183" t="s">
        <v>303</v>
      </c>
      <c r="C33" s="23"/>
      <c r="D33" s="22"/>
      <c r="E33" s="22"/>
      <c r="F33" s="23"/>
      <c r="G33" s="23"/>
      <c r="H33" s="271"/>
    </row>
    <row r="34" spans="2:8" ht="16" x14ac:dyDescent="0.2">
      <c r="B34" s="467"/>
      <c r="C34" s="469">
        <v>6</v>
      </c>
      <c r="D34" s="469" t="s">
        <v>293</v>
      </c>
      <c r="E34" s="291" t="s">
        <v>135</v>
      </c>
      <c r="F34" s="280">
        <v>0.15</v>
      </c>
      <c r="G34" s="280">
        <v>0.15</v>
      </c>
      <c r="H34" s="281">
        <v>0.15</v>
      </c>
    </row>
    <row r="35" spans="2:8" ht="32" x14ac:dyDescent="0.2">
      <c r="B35" s="468"/>
      <c r="C35" s="470"/>
      <c r="D35" s="470"/>
      <c r="E35" s="279" t="s">
        <v>134</v>
      </c>
      <c r="F35" s="284">
        <v>0.35</v>
      </c>
      <c r="G35" s="284">
        <v>0.35</v>
      </c>
      <c r="H35" s="285">
        <v>0.35</v>
      </c>
    </row>
    <row r="36" spans="2:8" ht="32" x14ac:dyDescent="0.2">
      <c r="B36" s="468"/>
      <c r="C36" s="470"/>
      <c r="D36" s="470"/>
      <c r="E36" s="279" t="s">
        <v>294</v>
      </c>
      <c r="F36" s="284">
        <v>0.15</v>
      </c>
      <c r="G36" s="284">
        <v>0.15</v>
      </c>
      <c r="H36" s="285">
        <v>0.35</v>
      </c>
    </row>
    <row r="37" spans="2:8" ht="16" x14ac:dyDescent="0.2">
      <c r="B37" s="468"/>
      <c r="C37" s="470"/>
      <c r="D37" s="286"/>
      <c r="E37" s="279" t="s">
        <v>310</v>
      </c>
      <c r="F37" s="284">
        <v>0.35</v>
      </c>
      <c r="G37" s="284">
        <v>0.35</v>
      </c>
      <c r="H37" s="285">
        <v>0.15</v>
      </c>
    </row>
    <row r="38" spans="2:8" x14ac:dyDescent="0.2">
      <c r="B38" s="282" t="s">
        <v>301</v>
      </c>
      <c r="C38" s="283"/>
      <c r="D38" s="286"/>
      <c r="E38" s="286"/>
      <c r="F38" s="286"/>
      <c r="G38" s="286"/>
      <c r="H38" s="293"/>
    </row>
    <row r="39" spans="2:8" x14ac:dyDescent="0.2">
      <c r="B39" s="282" t="s">
        <v>302</v>
      </c>
      <c r="C39" s="283"/>
      <c r="D39" s="286"/>
      <c r="E39" s="286"/>
      <c r="F39" s="284">
        <f>1-(F32+F26+F21+F13+F7)</f>
        <v>0.10000000000000009</v>
      </c>
      <c r="G39" s="284">
        <f>1-(G32+G26+G21+G13+G7)</f>
        <v>0.10000000000000009</v>
      </c>
      <c r="H39" s="285">
        <f>1-(H32+H26+H21+H13+H7)</f>
        <v>0.10000000000000009</v>
      </c>
    </row>
    <row r="40" spans="2:8" x14ac:dyDescent="0.2">
      <c r="B40" s="294" t="s">
        <v>303</v>
      </c>
      <c r="C40" s="295"/>
      <c r="D40" s="296"/>
      <c r="E40" s="296"/>
      <c r="F40" s="296"/>
      <c r="G40" s="296"/>
      <c r="H40" s="297"/>
    </row>
    <row r="41" spans="2:8" ht="37" customHeight="1" x14ac:dyDescent="0.2">
      <c r="B41" s="226"/>
      <c r="C41" s="200"/>
      <c r="D41" s="200" t="s">
        <v>300</v>
      </c>
      <c r="E41" s="200"/>
      <c r="F41" s="200" t="s">
        <v>201</v>
      </c>
      <c r="G41" s="200" t="s">
        <v>201</v>
      </c>
      <c r="H41" s="201" t="s">
        <v>201</v>
      </c>
    </row>
    <row r="42" spans="2:8" ht="39" customHeight="1" x14ac:dyDescent="0.2">
      <c r="F42" s="298" t="str">
        <f>+F1</f>
        <v>ENERGIA</v>
      </c>
      <c r="G42" s="299" t="str">
        <f t="shared" ref="G42:H42" si="0">+G1</f>
        <v>FLORESTAS E USO DO SOLO</v>
      </c>
      <c r="H42" s="300" t="str">
        <f t="shared" si="0"/>
        <v>AGRICULTURA</v>
      </c>
    </row>
    <row r="43" spans="2:8" ht="64" x14ac:dyDescent="0.2">
      <c r="C43" s="462">
        <v>4</v>
      </c>
      <c r="D43" s="463" t="s">
        <v>299</v>
      </c>
      <c r="E43" s="460"/>
      <c r="F43" s="301" t="s">
        <v>312</v>
      </c>
      <c r="G43" s="302" t="s">
        <v>139</v>
      </c>
      <c r="H43" s="302" t="s">
        <v>338</v>
      </c>
    </row>
    <row r="44" spans="2:8" ht="48" x14ac:dyDescent="0.2">
      <c r="C44" s="462"/>
      <c r="D44" s="463"/>
      <c r="E44" s="461"/>
      <c r="F44" s="301" t="s">
        <v>323</v>
      </c>
      <c r="G44" s="302" t="s">
        <v>337</v>
      </c>
      <c r="H44" s="302" t="s">
        <v>339</v>
      </c>
    </row>
    <row r="45" spans="2:8" ht="176" x14ac:dyDescent="0.2">
      <c r="F45" s="259" t="s">
        <v>324</v>
      </c>
      <c r="G45" s="259" t="s">
        <v>389</v>
      </c>
      <c r="H45" s="259" t="s">
        <v>388</v>
      </c>
    </row>
    <row r="46" spans="2:8" ht="136.5" customHeight="1" x14ac:dyDescent="0.2">
      <c r="F46" s="259" t="s">
        <v>125</v>
      </c>
      <c r="G46" s="146" t="s">
        <v>336</v>
      </c>
      <c r="H46" s="259" t="s">
        <v>340</v>
      </c>
    </row>
    <row r="47" spans="2:8" ht="137.25" customHeight="1" x14ac:dyDescent="0.2">
      <c r="B47" t="s">
        <v>340</v>
      </c>
      <c r="C47" s="462">
        <v>5</v>
      </c>
      <c r="D47" s="464" t="s">
        <v>295</v>
      </c>
      <c r="E47" s="303" t="s">
        <v>298</v>
      </c>
      <c r="F47" s="259" t="s">
        <v>325</v>
      </c>
      <c r="G47" s="259" t="s">
        <v>335</v>
      </c>
      <c r="H47" s="256" t="s">
        <v>341</v>
      </c>
    </row>
    <row r="48" spans="2:8" ht="64" x14ac:dyDescent="0.2">
      <c r="C48" s="462"/>
      <c r="D48" s="464"/>
      <c r="E48" s="304" t="s">
        <v>297</v>
      </c>
      <c r="F48" s="259" t="s">
        <v>46</v>
      </c>
      <c r="G48" s="259" t="s">
        <v>334</v>
      </c>
      <c r="H48" s="259" t="s">
        <v>342</v>
      </c>
    </row>
    <row r="49" spans="2:8" ht="192" x14ac:dyDescent="0.2">
      <c r="C49" s="462"/>
      <c r="D49" s="464"/>
      <c r="E49" s="303" t="s">
        <v>296</v>
      </c>
      <c r="F49" s="259" t="s">
        <v>326</v>
      </c>
      <c r="G49" s="256" t="s">
        <v>333</v>
      </c>
      <c r="H49" s="259" t="s">
        <v>343</v>
      </c>
    </row>
    <row r="50" spans="2:8" ht="64" x14ac:dyDescent="0.2">
      <c r="C50" s="466">
        <v>6</v>
      </c>
      <c r="D50" s="465" t="s">
        <v>293</v>
      </c>
      <c r="E50" s="305" t="s">
        <v>135</v>
      </c>
      <c r="F50" s="259" t="s">
        <v>327</v>
      </c>
      <c r="G50" s="256" t="s">
        <v>332</v>
      </c>
      <c r="H50" s="259" t="s">
        <v>344</v>
      </c>
    </row>
    <row r="51" spans="2:8" ht="112" x14ac:dyDescent="0.2">
      <c r="C51" s="466"/>
      <c r="D51" s="465"/>
      <c r="E51" s="305" t="s">
        <v>134</v>
      </c>
      <c r="F51" s="259" t="s">
        <v>328</v>
      </c>
      <c r="G51" s="256" t="s">
        <v>331</v>
      </c>
      <c r="H51" s="259" t="s">
        <v>345</v>
      </c>
    </row>
    <row r="52" spans="2:8" ht="96" x14ac:dyDescent="0.2">
      <c r="C52" s="466"/>
      <c r="D52" s="465"/>
      <c r="E52" s="305" t="s">
        <v>294</v>
      </c>
      <c r="F52" s="259" t="s">
        <v>329</v>
      </c>
      <c r="G52" s="256" t="s">
        <v>330</v>
      </c>
      <c r="H52" s="259" t="s">
        <v>346</v>
      </c>
    </row>
    <row r="53" spans="2:8" x14ac:dyDescent="0.2">
      <c r="B53" t="s">
        <v>285</v>
      </c>
    </row>
    <row r="54" spans="2:8" x14ac:dyDescent="0.2">
      <c r="B54" t="s">
        <v>286</v>
      </c>
    </row>
    <row r="55" spans="2:8" x14ac:dyDescent="0.2">
      <c r="B55" t="s">
        <v>287</v>
      </c>
    </row>
    <row r="56" spans="2:8" x14ac:dyDescent="0.2">
      <c r="B56" t="s">
        <v>288</v>
      </c>
    </row>
    <row r="57" spans="2:8" x14ac:dyDescent="0.2">
      <c r="B57" t="s">
        <v>289</v>
      </c>
    </row>
    <row r="58" spans="2:8" x14ac:dyDescent="0.2">
      <c r="B58" t="s">
        <v>290</v>
      </c>
    </row>
    <row r="59" spans="2:8" x14ac:dyDescent="0.2">
      <c r="B59" t="s">
        <v>291</v>
      </c>
    </row>
    <row r="60" spans="2:8" x14ac:dyDescent="0.2">
      <c r="B60" t="s">
        <v>292</v>
      </c>
    </row>
    <row r="62" spans="2:8" x14ac:dyDescent="0.2">
      <c r="B62">
        <v>0</v>
      </c>
    </row>
    <row r="63" spans="2:8" x14ac:dyDescent="0.2">
      <c r="B63">
        <v>1</v>
      </c>
    </row>
    <row r="64" spans="2:8" x14ac:dyDescent="0.2">
      <c r="B64">
        <v>2</v>
      </c>
    </row>
    <row r="65" spans="2:2" x14ac:dyDescent="0.2">
      <c r="B65">
        <v>3</v>
      </c>
    </row>
    <row r="66" spans="2:2" x14ac:dyDescent="0.2">
      <c r="B66">
        <v>4</v>
      </c>
    </row>
    <row r="67" spans="2:2" x14ac:dyDescent="0.2">
      <c r="B67">
        <v>5</v>
      </c>
    </row>
  </sheetData>
  <mergeCells count="27">
    <mergeCell ref="B2:B3"/>
    <mergeCell ref="C2:C3"/>
    <mergeCell ref="D2:D3"/>
    <mergeCell ref="E2:E3"/>
    <mergeCell ref="B4:B5"/>
    <mergeCell ref="C4:C5"/>
    <mergeCell ref="D4:D5"/>
    <mergeCell ref="D9:D10"/>
    <mergeCell ref="B15:B18"/>
    <mergeCell ref="C15:C18"/>
    <mergeCell ref="D15:D18"/>
    <mergeCell ref="B23:B24"/>
    <mergeCell ref="C23:C24"/>
    <mergeCell ref="D23:D24"/>
    <mergeCell ref="D50:D52"/>
    <mergeCell ref="C50:C52"/>
    <mergeCell ref="B28:B30"/>
    <mergeCell ref="C28:C30"/>
    <mergeCell ref="D28:D30"/>
    <mergeCell ref="B34:B37"/>
    <mergeCell ref="C34:C37"/>
    <mergeCell ref="D34:D36"/>
    <mergeCell ref="E43:E44"/>
    <mergeCell ref="C43:C44"/>
    <mergeCell ref="D43:D44"/>
    <mergeCell ref="C47:C49"/>
    <mergeCell ref="D47:D49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e3545c-095b-42d8-8174-a31685ccbf7c" xsi:nil="true"/>
    <lcf76f155ced4ddcb4097134ff3c332f xmlns="d79aef3c-c771-4f08-8605-bf759c814d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226EF16AD11E4BBAC796BC9FB75DAA" ma:contentTypeVersion="15" ma:contentTypeDescription="Crear nuevo documento." ma:contentTypeScope="" ma:versionID="f6428058b9affbc341743ee8710d98b4">
  <xsd:schema xmlns:xsd="http://www.w3.org/2001/XMLSchema" xmlns:xs="http://www.w3.org/2001/XMLSchema" xmlns:p="http://schemas.microsoft.com/office/2006/metadata/properties" xmlns:ns2="d79aef3c-c771-4f08-8605-bf759c814d00" xmlns:ns3="25e3545c-095b-42d8-8174-a31685ccbf7c" targetNamespace="http://schemas.microsoft.com/office/2006/metadata/properties" ma:root="true" ma:fieldsID="94c312296c4e2e24e41fd2eb2c78c6c6" ns2:_="" ns3:_="">
    <xsd:import namespace="d79aef3c-c771-4f08-8605-bf759c814d00"/>
    <xsd:import namespace="25e3545c-095b-42d8-8174-a31685ccb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aef3c-c771-4f08-8605-bf759c814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5698878-b331-436b-83d6-e56cb5996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545c-095b-42d8-8174-a31685ccbf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c7dc51-5688-4b45-9190-e1db8dc79966}" ma:internalName="TaxCatchAll" ma:showField="CatchAllData" ma:web="25e3545c-095b-42d8-8174-a31685ccb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973F9-E286-4660-8322-11E7BB04D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BE24D5-2CF0-4C3C-8C0B-349E9B3266E5}">
  <ds:schemaRefs>
    <ds:schemaRef ds:uri="http://schemas.microsoft.com/office/2006/metadata/properties"/>
    <ds:schemaRef ds:uri="http://schemas.microsoft.com/office/infopath/2007/PartnerControls"/>
    <ds:schemaRef ds:uri="25e3545c-095b-42d8-8174-a31685ccbf7c"/>
    <ds:schemaRef ds:uri="d79aef3c-c771-4f08-8605-bf759c814d00"/>
  </ds:schemaRefs>
</ds:datastoreItem>
</file>

<file path=customXml/itemProps3.xml><?xml version="1.0" encoding="utf-8"?>
<ds:datastoreItem xmlns:ds="http://schemas.openxmlformats.org/officeDocument/2006/customXml" ds:itemID="{78B4F887-FBDD-4478-AB3C-6ECF27368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aef3c-c771-4f08-8605-bf759c814d00"/>
    <ds:schemaRef ds:uri="25e3545c-095b-42d8-8174-a31685ccb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LEAME</vt:lpstr>
      <vt:lpstr>Datos Entrada</vt:lpstr>
      <vt:lpstr>ODS Analisis</vt:lpstr>
      <vt:lpstr>Criterios inversion</vt:lpstr>
      <vt:lpstr>ODS</vt:lpstr>
      <vt:lpstr>Politica Financiera</vt:lpstr>
      <vt:lpstr>Nivel de Riesgo</vt:lpstr>
      <vt:lpstr>Evaluacion Preliminar</vt:lpstr>
      <vt:lpstr>Auxiliar</vt:lpstr>
      <vt:lpstr>Auxiliar 2</vt:lpstr>
      <vt:lpstr>Obj Des Sost</vt:lpstr>
      <vt:lpstr>at_50.1_da_população_do_município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Blanca Rengifo</cp:lastModifiedBy>
  <cp:lastPrinted>2020-11-14T14:34:00Z</cp:lastPrinted>
  <dcterms:created xsi:type="dcterms:W3CDTF">2020-11-09T10:29:34Z</dcterms:created>
  <dcterms:modified xsi:type="dcterms:W3CDTF">2025-03-11T19:30:30Z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0x010100A1226EF16AD11E4BBAC796BC9FB75DAA</vt:lpwstr>
  </property>
</Properties>
</file>